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45" windowWidth="18810" windowHeight="6090" activeTab="0"/>
  </bookViews>
  <sheets>
    <sheet name="2012_sausis" sheetId="1" r:id="rId1"/>
  </sheets>
  <definedNames/>
  <calcPr fullCalcOnLoad="1"/>
</workbook>
</file>

<file path=xl/sharedStrings.xml><?xml version="1.0" encoding="utf-8"?>
<sst xmlns="http://schemas.openxmlformats.org/spreadsheetml/2006/main" count="2287" uniqueCount="1006">
  <si>
    <t>Nr.</t>
  </si>
  <si>
    <t>Pastatų grupės pagal šilumos suvartojimą</t>
  </si>
  <si>
    <t>Adresas</t>
  </si>
  <si>
    <t>Butų sk.</t>
  </si>
  <si>
    <t>Namo 
plotas</t>
  </si>
  <si>
    <t>Butų 
plotas</t>
  </si>
  <si>
    <t xml:space="preserve">Šilumos 
suvartojimas šildymui </t>
  </si>
  <si>
    <t>vnt.</t>
  </si>
  <si>
    <t>metai</t>
  </si>
  <si>
    <t>MWh</t>
  </si>
  <si>
    <t>Lt/MWh</t>
  </si>
  <si>
    <r>
      <t>I.</t>
    </r>
    <r>
      <rPr>
        <sz val="8"/>
        <rFont val="Arial"/>
        <family val="2"/>
      </rPr>
      <t xml:space="preserve"> Daugiabučiai suvartojantys mažiausiai šilumos (naujos statybos, kokybiški namai)</t>
    </r>
  </si>
  <si>
    <r>
      <t>IV.</t>
    </r>
    <r>
      <rPr>
        <sz val="8"/>
        <rFont val="Arial"/>
        <family val="2"/>
      </rPr>
      <t xml:space="preserve"> Daugiaubučiai suvartojantys labai daug šilumos (senos statybos, labai prastos šiluminės izoliacijos namai)</t>
    </r>
  </si>
  <si>
    <t>Statybos metai</t>
  </si>
  <si>
    <t>Suvartotas šilumos kiekis</t>
  </si>
  <si>
    <t>Apmokestinta šiluma šildymui gyventojams</t>
  </si>
  <si>
    <t xml:space="preserve">Šilumos kaina gyventojams
(su PVM) </t>
  </si>
  <si>
    <t>Mokėjimai už šilumą 1 m² ploto šildymui                 (su PVM)</t>
  </si>
  <si>
    <t xml:space="preserve">Iš viso 
</t>
  </si>
  <si>
    <t xml:space="preserve">Karštam vandeniui ruošti </t>
  </si>
  <si>
    <t>Karšto vandens temp. palaikymui</t>
  </si>
  <si>
    <t xml:space="preserve">Patalpų šildymui </t>
  </si>
  <si>
    <t>m²</t>
  </si>
  <si>
    <t>MWh/m²</t>
  </si>
  <si>
    <t>Lt/m²</t>
  </si>
  <si>
    <t>Šilumos suvartojimas 60 m² ploto buto šildymui</t>
  </si>
  <si>
    <t>Mokėjimai už šilumą 60 m² ploto buto šildymui 
(su PVM)</t>
  </si>
  <si>
    <t>kWh/mėn</t>
  </si>
  <si>
    <t>Lt/mėn</t>
  </si>
  <si>
    <r>
      <t>II.</t>
    </r>
    <r>
      <rPr>
        <sz val="8"/>
        <rFont val="Arial"/>
        <family val="2"/>
      </rPr>
      <t xml:space="preserve"> Daugiabučiai suvartojantys mažai arba vidutiniškai šilumos (naujos statybos ir kiti kažkiek taupantys šilumą namai)</t>
    </r>
  </si>
  <si>
    <r>
      <t>III.</t>
    </r>
    <r>
      <rPr>
        <sz val="8"/>
        <rFont val="Arial"/>
        <family val="2"/>
      </rPr>
      <t xml:space="preserve"> Daugiabučiai suvartojantys daug šilumos (senos statybos nerenovuoti namai)</t>
    </r>
  </si>
  <si>
    <t>Vilnius (UAB "Vilniaus energija")</t>
  </si>
  <si>
    <t>Karšto vandens temp. Palaikymui</t>
  </si>
  <si>
    <r>
      <rPr>
        <b/>
        <sz val="8"/>
        <rFont val="Arial"/>
        <family val="2"/>
      </rPr>
      <t xml:space="preserve">II. </t>
    </r>
    <r>
      <rPr>
        <sz val="8"/>
        <rFont val="Arial"/>
        <family val="2"/>
      </rPr>
      <t>Daugiabučiai suvartojantys mažai arba vidutiniškai šilumos (naujos statybos ir kiti kažkiek taupantys šilumą namai)</t>
    </r>
  </si>
  <si>
    <r>
      <rPr>
        <b/>
        <sz val="8"/>
        <rFont val="Arial"/>
        <family val="2"/>
      </rPr>
      <t xml:space="preserve">IV. </t>
    </r>
    <r>
      <rPr>
        <sz val="8"/>
        <rFont val="Arial"/>
        <family val="2"/>
      </rPr>
      <t>Daugiaubučiai suvartojantys labai daug šilumos (senos statybos, labai prastos šiluminės izoliacijos namai)</t>
    </r>
  </si>
  <si>
    <t>Kaunas (AB ,,Kauno energija")</t>
  </si>
  <si>
    <t>Šiauliai (AB "Šiaulių energija")</t>
  </si>
  <si>
    <t>Šilumos suvartojimas 60 m2 ploto buto šildymui</t>
  </si>
  <si>
    <t>kWh/mėn.</t>
  </si>
  <si>
    <t>Mažeikiai (UAB "Mažeikių šilumos tinklai")</t>
  </si>
  <si>
    <t>Utena (UAB "Utenos šilumos tinklai")</t>
  </si>
  <si>
    <t>Staty-bos metai</t>
  </si>
  <si>
    <t>Radviliškis (UAB "Radviliškio šiluma")</t>
  </si>
  <si>
    <t>....</t>
  </si>
  <si>
    <t xml:space="preserve">Iš viso </t>
  </si>
  <si>
    <t>II. Daugiabučiai suvartojantys mažai arba vidutiniškai šilumos (naujos statybos ir kiti kažkiek taupantys šilumą namai)</t>
  </si>
  <si>
    <t>III. Daugiabučiai suvartojantys daug šilumos (senos statybos nerenovuoti namai)</t>
  </si>
  <si>
    <t>Kaišiadorys (UAB"Kaišiadorių šiluma")</t>
  </si>
  <si>
    <r>
      <rPr>
        <b/>
        <sz val="8"/>
        <rFont val="Arial"/>
        <family val="2"/>
      </rPr>
      <t xml:space="preserve">III. </t>
    </r>
    <r>
      <rPr>
        <sz val="8"/>
        <rFont val="Arial"/>
        <family val="2"/>
      </rPr>
      <t>Daugiabučiai suvartojantys daug šilumos (senos statybos nerenovuoti namai)</t>
    </r>
  </si>
  <si>
    <t>Šilalė (UAB"Šilalės šilumos tinklai")</t>
  </si>
  <si>
    <t>I. Daugiabučiai suvartojantys mažiausiai šilumos (naujos statybos, kokybiški namai)</t>
  </si>
  <si>
    <t>IV. Daugiaubučiai suvartojantys labai daug šilumos (senos statybos, labai prastos šiluminės izoliacijos namai)</t>
  </si>
  <si>
    <t>Prienai (UAB „Prienų energija“)</t>
  </si>
  <si>
    <t>Plungė (UAB"Plungės šilumos tinklai")</t>
  </si>
  <si>
    <t>Šakiai (UAB „Šakių šilumos tinklai")</t>
  </si>
  <si>
    <t>Varėna (UAB "Varėnos šiluma")</t>
  </si>
  <si>
    <t>Klaipėda (AB "Klaipėdos energija")</t>
  </si>
  <si>
    <t>Ignalina (UAB „Ignalinos šilumos tinklai")</t>
  </si>
  <si>
    <t>Alytus (UAB „Litesko“ filialas "Alytaus energija")</t>
  </si>
  <si>
    <t>Biržai (UAB „Litesko“ filialas "Biržų šiluma")</t>
  </si>
  <si>
    <t>Kelmė  (UAB „Litesko“ filialas "Kelmės šiluma")</t>
  </si>
  <si>
    <t>Telšiai  (UAB „Litesko“ filialas "Telšių šiluma")</t>
  </si>
  <si>
    <t>Palanga (UAB „Litesko“ filialas "Palangos šiluma")</t>
  </si>
  <si>
    <t>Druskininkai (UAB „Litesko“ filialas "Druskininkų šiluma")</t>
  </si>
  <si>
    <t>Pavilnionių g. 31</t>
  </si>
  <si>
    <t>Sviliškių g. 4,6</t>
  </si>
  <si>
    <t>Bajorų kelias 3</t>
  </si>
  <si>
    <t>iki 1992</t>
  </si>
  <si>
    <t>Perkūnkiemio g. 45</t>
  </si>
  <si>
    <t>Fizikų g. 6</t>
  </si>
  <si>
    <t>J.Franko g. 4</t>
  </si>
  <si>
    <t>J. Kubiliaus g. 4</t>
  </si>
  <si>
    <t>Laisvės pr. 85</t>
  </si>
  <si>
    <t>Pajautos g. 13</t>
  </si>
  <si>
    <t>P.Smuglevičiaus g. 6</t>
  </si>
  <si>
    <t>Karaliaučiaus g. 16a</t>
  </si>
  <si>
    <t>Bitininkų g. 4C</t>
  </si>
  <si>
    <t>Karaliaučiaus g. 16C</t>
  </si>
  <si>
    <t>Bitėnų g. 10</t>
  </si>
  <si>
    <t>Sviliškių g. 3,5,7</t>
  </si>
  <si>
    <t>Ūmedžių g. 96</t>
  </si>
  <si>
    <t>Ūmėdžių g. 80, 82</t>
  </si>
  <si>
    <t>Naugarduko g. 50A</t>
  </si>
  <si>
    <t>Rygos g. 34, 36, 38</t>
  </si>
  <si>
    <t>Ukmergės g. 228</t>
  </si>
  <si>
    <t>Musninkų g. 20</t>
  </si>
  <si>
    <t>Šeškinės g. 63</t>
  </si>
  <si>
    <t>Žemynos g. 9</t>
  </si>
  <si>
    <t>Taikos g. 126, 124</t>
  </si>
  <si>
    <t>Linksmoji g. 77</t>
  </si>
  <si>
    <t>S.Stanevičiaus g. 8</t>
  </si>
  <si>
    <t>Filaretų g. 18, 20</t>
  </si>
  <si>
    <t>A.Domaševičiaus g. 3</t>
  </si>
  <si>
    <t>Sėlių g. 43</t>
  </si>
  <si>
    <t>V.Grybo g. 24</t>
  </si>
  <si>
    <t>Rinktinės g. 36</t>
  </si>
  <si>
    <t>Popieriaus g. 82</t>
  </si>
  <si>
    <t>Tramvajų g. 4</t>
  </si>
  <si>
    <t>Parko g. 18</t>
  </si>
  <si>
    <t>P.Vileišio g. 16</t>
  </si>
  <si>
    <t>Arklių g. 16</t>
  </si>
  <si>
    <t>Agrastų g. 8</t>
  </si>
  <si>
    <t>J.Tiškevičiaus g. 6</t>
  </si>
  <si>
    <t>Ašmenos II-oji 37</t>
  </si>
  <si>
    <t>Geležinio Vilko 1A</t>
  </si>
  <si>
    <t>Radvilėnų  5</t>
  </si>
  <si>
    <t>Archyvo 48</t>
  </si>
  <si>
    <t>Krėvės 82B</t>
  </si>
  <si>
    <t>Naujakurių 116A</t>
  </si>
  <si>
    <t>Karaliaus Mindaugo 7</t>
  </si>
  <si>
    <t>Aušros 20</t>
  </si>
  <si>
    <t>Pašilės 59</t>
  </si>
  <si>
    <t>Saulės 3</t>
  </si>
  <si>
    <t>Šiaurės 101</t>
  </si>
  <si>
    <t>Partizanų 198</t>
  </si>
  <si>
    <t>Lukšio 64</t>
  </si>
  <si>
    <t>Pašilės 96</t>
  </si>
  <si>
    <t>Taikos 39</t>
  </si>
  <si>
    <t>Gravrogkų 17</t>
  </si>
  <si>
    <t>Vievio 54</t>
  </si>
  <si>
    <t>Partizanų 20</t>
  </si>
  <si>
    <t>Baltų 2</t>
  </si>
  <si>
    <t>Baršausko 80</t>
  </si>
  <si>
    <t>Baršausko 77</t>
  </si>
  <si>
    <t>Baršausko 75</t>
  </si>
  <si>
    <t>Taikos 41</t>
  </si>
  <si>
    <t>Draugystės 6</t>
  </si>
  <si>
    <t>Juozapavičiaus 48 A</t>
  </si>
  <si>
    <t>Masiulio 6</t>
  </si>
  <si>
    <t>Sąjungos a. 10</t>
  </si>
  <si>
    <t>Trakai (UAB „Prienų energija“ Trakų padalinys)</t>
  </si>
  <si>
    <t>Savanorių 204(bt.1-49; 66-92)</t>
  </si>
  <si>
    <t>Jonažolių g. 13 (bt. 1-58)</t>
  </si>
  <si>
    <t>Žirmūnų g. 3</t>
  </si>
  <si>
    <t>MWh/m²/mėn.</t>
  </si>
  <si>
    <t>Lt/m²/mėn.</t>
  </si>
  <si>
    <t>M.Marcinkevičiaus g. 29</t>
  </si>
  <si>
    <t>Sukilėlių 87A (KVT)</t>
  </si>
  <si>
    <t>Kovo 11-osios 114 (renov.)(KVT)</t>
  </si>
  <si>
    <t>Kovo 11-osios 118 (renov)(KVT)</t>
  </si>
  <si>
    <t>Krėvės 61 (renov.) (KVT)</t>
  </si>
  <si>
    <t>Partizanų 160 (renov.)</t>
  </si>
  <si>
    <t>Griunvaldo 4  (renov.)</t>
  </si>
  <si>
    <t>Savanorių 415  (renov.)(KVT)</t>
  </si>
  <si>
    <t>Taikos 78 (renov.)</t>
  </si>
  <si>
    <t>Medvėgalio 31 (renov.)</t>
  </si>
  <si>
    <t>Lukšos-Daumanto 2</t>
  </si>
  <si>
    <t>Šiaurės 1 (KVT)</t>
  </si>
  <si>
    <t>MWh/m²/mėn</t>
  </si>
  <si>
    <t>Lt/m²/mėn</t>
  </si>
  <si>
    <t>Sodų 6</t>
  </si>
  <si>
    <t>Žemaitės g. 66</t>
  </si>
  <si>
    <t>Ežero g. 14</t>
  </si>
  <si>
    <t>Ežero g. 15</t>
  </si>
  <si>
    <t>Dariaus ir Girėno 6B Alytus</t>
  </si>
  <si>
    <t>PUTINŲ 2 Alytus</t>
  </si>
  <si>
    <t>BIRUTĖS 14 Alytus</t>
  </si>
  <si>
    <t>Statybininkų 46 Alytus</t>
  </si>
  <si>
    <t>LAUKO 17 Alytus</t>
  </si>
  <si>
    <t>KERNAVĖS 2 Alytus</t>
  </si>
  <si>
    <t>ALYVŲ TAKAS 13 Alytus</t>
  </si>
  <si>
    <t>Statybininkų 43 Alytus</t>
  </si>
  <si>
    <t>ŽIBURIO 12 Alytus</t>
  </si>
  <si>
    <t>Rinkuškių 49</t>
  </si>
  <si>
    <t>Vilniaus 4</t>
  </si>
  <si>
    <t>Rinkuškių 47a</t>
  </si>
  <si>
    <t>Vytauto 24</t>
  </si>
  <si>
    <t>Vilniaus 39a</t>
  </si>
  <si>
    <t>Respublikos 58</t>
  </si>
  <si>
    <t>Vilniaus 77b</t>
  </si>
  <si>
    <t>Rinkuškių 51</t>
  </si>
  <si>
    <t>Vytauto 14a</t>
  </si>
  <si>
    <t>Vilniaus 93a</t>
  </si>
  <si>
    <t>Vilniaus 92</t>
  </si>
  <si>
    <t>Rotušės 24</t>
  </si>
  <si>
    <t>Kilučių 11</t>
  </si>
  <si>
    <t>Basanavičiaus 18</t>
  </si>
  <si>
    <t>Vytauto 33</t>
  </si>
  <si>
    <t>Rotušės 19</t>
  </si>
  <si>
    <t>Rotušės 7</t>
  </si>
  <si>
    <t>Rotušės 17</t>
  </si>
  <si>
    <t>Rotušės 5</t>
  </si>
  <si>
    <t>Vytauto 8</t>
  </si>
  <si>
    <t>Kęstučio 2</t>
  </si>
  <si>
    <t>Rotušės 1</t>
  </si>
  <si>
    <t>Vytauto 6</t>
  </si>
  <si>
    <t>Vytauto 7</t>
  </si>
  <si>
    <t>A.Civinsko 7</t>
  </si>
  <si>
    <t>Gėlių 14</t>
  </si>
  <si>
    <t>Vytauto 13</t>
  </si>
  <si>
    <t>Vilkaviškio 72</t>
  </si>
  <si>
    <t>Bažnyčios 15</t>
  </si>
  <si>
    <t>A.Civinsko 25</t>
  </si>
  <si>
    <t>P.Kriaučiūno 3</t>
  </si>
  <si>
    <t>P.Butlerienės sk. 5</t>
  </si>
  <si>
    <t>Kauno 18</t>
  </si>
  <si>
    <t>Mackevičiaus   29</t>
  </si>
  <si>
    <t>Kooperacijos   28</t>
  </si>
  <si>
    <t>Vytauto Didžiojo   45</t>
  </si>
  <si>
    <t>Vytauto Didžiojo   84</t>
  </si>
  <si>
    <t>Vilties   18</t>
  </si>
  <si>
    <t>Raseinių   7</t>
  </si>
  <si>
    <t>Vytauto Didžiojo   61</t>
  </si>
  <si>
    <t>Vilties   14</t>
  </si>
  <si>
    <t>Dariaus ir Girėno 13</t>
  </si>
  <si>
    <t>Birutės 6 Vilkaviškis</t>
  </si>
  <si>
    <t>Statybininkų 4 Vilkaviškis</t>
  </si>
  <si>
    <t>Aušros 2 Vilkaviškis</t>
  </si>
  <si>
    <t>Aušros 4 Vilkaviškis</t>
  </si>
  <si>
    <t>Pilviškių 27 Vilkaviškis</t>
  </si>
  <si>
    <t>Vienybės 72 Vilkaviškis</t>
  </si>
  <si>
    <t>Birutės 4 Vilkaviškis</t>
  </si>
  <si>
    <t>Aušros 8 Vilkaviškis</t>
  </si>
  <si>
    <t>Nepriklausomybės 72 Vilkaviškis</t>
  </si>
  <si>
    <t>Lauko 44 Vilkaviškis</t>
  </si>
  <si>
    <t>Birutės 2 Vilkaviškis</t>
  </si>
  <si>
    <t>Aušros 10 Vilkaviškis</t>
  </si>
  <si>
    <t>Darvino 28 Kybartai</t>
  </si>
  <si>
    <t>Vilniaus 4 Vilkaviškis</t>
  </si>
  <si>
    <t>Vištyčio 2 Virbalis</t>
  </si>
  <si>
    <t>Dariaus ir Girėno 2A Kybartai</t>
  </si>
  <si>
    <t>K.Naumiesčio 9A Kybartai</t>
  </si>
  <si>
    <t>Druskininkų 7a</t>
  </si>
  <si>
    <t>Taikos 10</t>
  </si>
  <si>
    <t>Sodų 1</t>
  </si>
  <si>
    <t>Kretingos 33</t>
  </si>
  <si>
    <t>Saulėtekio 8/6</t>
  </si>
  <si>
    <t>Sodų 39</t>
  </si>
  <si>
    <t>Sodų 21</t>
  </si>
  <si>
    <t>Druskininkų 16</t>
  </si>
  <si>
    <t>Ganyklų 29</t>
  </si>
  <si>
    <t>Biliūno 3</t>
  </si>
  <si>
    <t>Vytauto 148</t>
  </si>
  <si>
    <t>Vytauto 77</t>
  </si>
  <si>
    <t>Oškinio 8</t>
  </si>
  <si>
    <t>Ganyklų 59</t>
  </si>
  <si>
    <t>Valančiaus 8</t>
  </si>
  <si>
    <t>Biliūno 9</t>
  </si>
  <si>
    <t>Kretingos 7</t>
  </si>
  <si>
    <t>Vytauto 81</t>
  </si>
  <si>
    <t>S.neries 5</t>
  </si>
  <si>
    <t>Medžiotojų 10</t>
  </si>
  <si>
    <t>Biliūno 6</t>
  </si>
  <si>
    <t>Vytauto 65</t>
  </si>
  <si>
    <t>Kretingos 6</t>
  </si>
  <si>
    <t>Vytauto 120</t>
  </si>
  <si>
    <t>Valančiaus 6</t>
  </si>
  <si>
    <t>-</t>
  </si>
  <si>
    <t>LIEPŲ 2A</t>
  </si>
  <si>
    <t>VEISIEJŲ 16</t>
  </si>
  <si>
    <t>VEISIEJŲ 15</t>
  </si>
  <si>
    <t>DRUSKININKŲ 8</t>
  </si>
  <si>
    <t>ČIURLIONIO 93</t>
  </si>
  <si>
    <t>ANTAKALNIO 13</t>
  </si>
  <si>
    <t>ŠV.JOKŪBO 15</t>
  </si>
  <si>
    <t>FONBERGO 6</t>
  </si>
  <si>
    <t>Kudirkos g. 22, Utena</t>
  </si>
  <si>
    <t>iki1992</t>
  </si>
  <si>
    <t>Aušros g. 89 Ik.(renov.)Utena</t>
  </si>
  <si>
    <t>Aukštakalnio g. 108 Utena</t>
  </si>
  <si>
    <t>Sėlių g. 59, Utena</t>
  </si>
  <si>
    <t>Krašuonos g. 13, Utena</t>
  </si>
  <si>
    <t>Aukštakalnio g. 10,12, Utena</t>
  </si>
  <si>
    <t>Kauno g. 27, Utena</t>
  </si>
  <si>
    <t>Aušros g. 28, Utena</t>
  </si>
  <si>
    <t>Basanavičiaus g. 108, Utena</t>
  </si>
  <si>
    <t>Aušros g. 82, Utena</t>
  </si>
  <si>
    <t>Vaižganto 96( renov.)</t>
  </si>
  <si>
    <t>Vaišvilos 31( renov.)</t>
  </si>
  <si>
    <t>Vaišvilos 23( renov.)</t>
  </si>
  <si>
    <t>Končiaus 7A(skaitikliai butuose)</t>
  </si>
  <si>
    <t>Mačernio 53</t>
  </si>
  <si>
    <t>Jucio 12</t>
  </si>
  <si>
    <t>Mačernio 10</t>
  </si>
  <si>
    <t>Mačernio 47</t>
  </si>
  <si>
    <t>Jucio 22</t>
  </si>
  <si>
    <t>Mačernio 51</t>
  </si>
  <si>
    <t>Jucio 10</t>
  </si>
  <si>
    <t>Vaižganto 85</t>
  </si>
  <si>
    <t>Mačernio 6</t>
  </si>
  <si>
    <t>Mačernio 8</t>
  </si>
  <si>
    <t>Telšių 21</t>
  </si>
  <si>
    <t>Lentpjūvės 6</t>
  </si>
  <si>
    <t>Vytauto 27</t>
  </si>
  <si>
    <t>S. Neries 4</t>
  </si>
  <si>
    <t>Dariaus Ir Girėno 35</t>
  </si>
  <si>
    <t>Dariaus Ir Girėno 33</t>
  </si>
  <si>
    <t>Vytauto g. 10</t>
  </si>
  <si>
    <t>Brundzos 8, Prienai</t>
  </si>
  <si>
    <t>Brundzos 7, Prienai</t>
  </si>
  <si>
    <t>Vytauto 25, Prienai</t>
  </si>
  <si>
    <t>Trakų 27, Trakai</t>
  </si>
  <si>
    <t>Mindaugo 20, Trakai</t>
  </si>
  <si>
    <t>Pakalnės 23, Lentvaris</t>
  </si>
  <si>
    <t>Šaulių g. 10</t>
  </si>
  <si>
    <t>J. Basanavičiaus g. 4</t>
  </si>
  <si>
    <t>Šaulių g. 8</t>
  </si>
  <si>
    <t>Bažnyčios g. 15</t>
  </si>
  <si>
    <t>Vytauto g. 4</t>
  </si>
  <si>
    <t>V. Kudirkos g. 88</t>
  </si>
  <si>
    <t>V. Kudirkos g. 47</t>
  </si>
  <si>
    <t>V. Kudirkos g. 37</t>
  </si>
  <si>
    <t>V. Kudirkos g. 94</t>
  </si>
  <si>
    <t>Nepriklausomybės g. 5</t>
  </si>
  <si>
    <t>Kęstučio g. 4</t>
  </si>
  <si>
    <t>Šaulių g. 12</t>
  </si>
  <si>
    <r>
      <t>II</t>
    </r>
    <r>
      <rPr>
        <b/>
        <sz val="8"/>
        <rFont val="Arial"/>
        <family val="2"/>
      </rPr>
      <t xml:space="preserve">. </t>
    </r>
    <r>
      <rPr>
        <sz val="8"/>
        <rFont val="Arial"/>
        <family val="2"/>
      </rPr>
      <t>Daugiabučiai suvartojantys mažai arba vidutiniškai šilumos (naujos statybos ir kiti kažkiek taupantys šilumą namai)</t>
    </r>
  </si>
  <si>
    <r>
      <rPr>
        <b/>
        <sz val="8"/>
        <rFont val="Arial"/>
        <family val="2"/>
      </rPr>
      <t xml:space="preserve">I. </t>
    </r>
    <r>
      <rPr>
        <sz val="8"/>
        <rFont val="Arial"/>
        <family val="2"/>
      </rPr>
      <t>Daugiabučiai suvartojantys mažiausiai šilumos (naujos statybos, kokybiški namai)</t>
    </r>
  </si>
  <si>
    <t>Jakšto 8</t>
  </si>
  <si>
    <t>Minijos g. 11</t>
  </si>
  <si>
    <t>Vilniaus g. 202 (renov.)</t>
  </si>
  <si>
    <t>Gegužių g. 73 (renov.)</t>
  </si>
  <si>
    <t>Gegužių g. 19 (renov.)</t>
  </si>
  <si>
    <t>Grinkevičiaus g. 8 (renov.)</t>
  </si>
  <si>
    <t>Klevų g. 13 (renov.)</t>
  </si>
  <si>
    <t>Vytauto g. 149 (renov.)</t>
  </si>
  <si>
    <t>Pirties g. 6</t>
  </si>
  <si>
    <t>NAUJOJI 26 Alytus</t>
  </si>
  <si>
    <t>VINGIO 1 Alytus</t>
  </si>
  <si>
    <t>Statybininkų 30 Alytus</t>
  </si>
  <si>
    <t>KAŠTONŲ 12 Alytus</t>
  </si>
  <si>
    <t>NAUJOJI 68 Alytus</t>
  </si>
  <si>
    <t>Aukštakalnio 14 Alytus</t>
  </si>
  <si>
    <t>Statybininkų 107 Alytus</t>
  </si>
  <si>
    <t>JAUNIMO 10 Alytus</t>
  </si>
  <si>
    <t>BAŽNYČIOS 2 Alytus</t>
  </si>
  <si>
    <t>ALYVŲ TAKAS 22 Alytus</t>
  </si>
  <si>
    <t>PRAMONĖS 4 Alytus</t>
  </si>
  <si>
    <t>Vėjo 26b</t>
  </si>
  <si>
    <t>Rinkuškių 47</t>
  </si>
  <si>
    <t>Rinkuškių 22</t>
  </si>
  <si>
    <t>V.Kudirkos 1</t>
  </si>
  <si>
    <t>Kosmonautų 12</t>
  </si>
  <si>
    <t>Kosmonautų 28</t>
  </si>
  <si>
    <t>Vytauto 54B</t>
  </si>
  <si>
    <t>Vytauto 54</t>
  </si>
  <si>
    <t>Dariaus ir Girėno 9</t>
  </si>
  <si>
    <t>R.Juknevičiaus 100</t>
  </si>
  <si>
    <t>Lietuvininkų 4</t>
  </si>
  <si>
    <t>P.Armino 31</t>
  </si>
  <si>
    <t>Kumelionys 4</t>
  </si>
  <si>
    <t>Laisvės 7</t>
  </si>
  <si>
    <t>P.Butlerienės 7</t>
  </si>
  <si>
    <t>Draugystės 13</t>
  </si>
  <si>
    <t>Vytauto Didžiojo   82</t>
  </si>
  <si>
    <t>Lauko 48 Vilkaviškis</t>
  </si>
  <si>
    <t>Vištyčio 36A Kybartai</t>
  </si>
  <si>
    <t>Statybininkų 8 Vilkaviškis</t>
  </si>
  <si>
    <t>Gedimino 10 Vilkaviškis</t>
  </si>
  <si>
    <t>Darvino 19 Kybartai</t>
  </si>
  <si>
    <t>Tarybų 7 Kybartai</t>
  </si>
  <si>
    <t>S.Nėries 44 Vilkaviškis</t>
  </si>
  <si>
    <t>Mokyklos 3 Pilviškiai</t>
  </si>
  <si>
    <t>Vasario 16-ios 10 Pilviškiai</t>
  </si>
  <si>
    <t>Janonio 28</t>
  </si>
  <si>
    <t>GARDINO 56A</t>
  </si>
  <si>
    <t>ŠILTNAMIŲ 22</t>
  </si>
  <si>
    <t>DRUSKININKŲ 23</t>
  </si>
  <si>
    <t>ŠILTNAMIŲ 18</t>
  </si>
  <si>
    <t>DRUSKININKŲ 9</t>
  </si>
  <si>
    <t>VEISIEJŲ 22</t>
  </si>
  <si>
    <t>ŠILTNAMIŲ 26</t>
  </si>
  <si>
    <t>ČIURLIONIO 83</t>
  </si>
  <si>
    <t>ČIURLIONIO 4</t>
  </si>
  <si>
    <t>MELIORATORIŲ 12</t>
  </si>
  <si>
    <t>MELIORATORIŲ 10</t>
  </si>
  <si>
    <t>ALĖJOS 22</t>
  </si>
  <si>
    <t>KUDIRKOS 31</t>
  </si>
  <si>
    <t>Žemaitijos 33</t>
  </si>
  <si>
    <t>Pavasario 14</t>
  </si>
  <si>
    <t>P.Vileišio 6</t>
  </si>
  <si>
    <t>V.Burbos 5</t>
  </si>
  <si>
    <t>Laisvės 32</t>
  </si>
  <si>
    <t>Aukštakalnio g. 72, Utena</t>
  </si>
  <si>
    <t>Vaižganto g. 52, Utena</t>
  </si>
  <si>
    <t>Bažnyčios g. 4, Utena</t>
  </si>
  <si>
    <t>Kęstučio g. 1, Utena</t>
  </si>
  <si>
    <t>Basanavičiaus g. 110a, Utena</t>
  </si>
  <si>
    <t>Kęstučio g. 6, Utena</t>
  </si>
  <si>
    <t>Kęstučio g. 9, Utena</t>
  </si>
  <si>
    <t>Vaišvilos 9 ( renov.)</t>
  </si>
  <si>
    <t>Jucio 30 ( renov.)</t>
  </si>
  <si>
    <t>Vaišvilos 25 ( renov.)</t>
  </si>
  <si>
    <t>Gedimino g. 127, Kaišiadorys</t>
  </si>
  <si>
    <t>Gedimino g. 101, Kaišiadorys</t>
  </si>
  <si>
    <t>Gedimino g. 99, Kaišiadorys</t>
  </si>
  <si>
    <t>Gedimino g. 56, Kaišiadorys</t>
  </si>
  <si>
    <t>Parko g. 8, Stasiūnai</t>
  </si>
  <si>
    <r>
      <rPr>
        <b/>
        <sz val="8"/>
        <rFont val="Arial"/>
        <family val="2"/>
      </rPr>
      <t>I</t>
    </r>
    <r>
      <rPr>
        <sz val="8"/>
        <rFont val="Arial"/>
        <family val="2"/>
      </rPr>
      <t>. Daugiabučiai suvartojantys mažiausiai šilumos (naujos statybos, kokybiški namai)</t>
    </r>
  </si>
  <si>
    <t>M. Petrausko g. 3, Ignalina</t>
  </si>
  <si>
    <t>Vytauto 34, Prienai</t>
  </si>
  <si>
    <r>
      <rPr>
        <b/>
        <sz val="8"/>
        <rFont val="Arial"/>
        <family val="2"/>
      </rPr>
      <t>III</t>
    </r>
    <r>
      <rPr>
        <sz val="8"/>
        <rFont val="Arial"/>
        <family val="2"/>
      </rPr>
      <t>. Daugiabučiai suvartojantys daug šilumos (senos statybos nerenovuoti namai)</t>
    </r>
  </si>
  <si>
    <t>Birutės 29, Trakai</t>
  </si>
  <si>
    <t>Pakalnės 24, Lentvaris</t>
  </si>
  <si>
    <t>S. Banaičio g. 3</t>
  </si>
  <si>
    <t>Vytauto g. 6</t>
  </si>
  <si>
    <t>Maironio g.21</t>
  </si>
  <si>
    <t>LELIJŲ 11</t>
  </si>
  <si>
    <t>SRUOGOS 8</t>
  </si>
  <si>
    <t>Jonava (AB"Jonavos šilumos tinklai")</t>
  </si>
  <si>
    <t>J.RALIO 8 (renovuotas)</t>
  </si>
  <si>
    <t>10.</t>
  </si>
  <si>
    <t>Liepojos g. 22</t>
  </si>
  <si>
    <t>Karklų g. 18</t>
  </si>
  <si>
    <t>Rumpiškės g. 10</t>
  </si>
  <si>
    <t>Baltikalnio g. 9</t>
  </si>
  <si>
    <t>Rumpiškės g. 31</t>
  </si>
  <si>
    <t>Liepų g. 39</t>
  </si>
  <si>
    <t>Gardino g. 27 (renov.)</t>
  </si>
  <si>
    <t>Aido g. 17 (renov.)</t>
  </si>
  <si>
    <t>Putinų g. 10</t>
  </si>
  <si>
    <t>Trakų g. 36</t>
  </si>
  <si>
    <t>Aušros takas 6</t>
  </si>
  <si>
    <t>Saulės g. 34</t>
  </si>
  <si>
    <t>Poilsio g. 11</t>
  </si>
  <si>
    <t>NAUJOJI 78 Alytus</t>
  </si>
  <si>
    <t>KALNIŠKĖS 25 Alytus</t>
  </si>
  <si>
    <t>Statybininkų 49 Alytus</t>
  </si>
  <si>
    <t>MAIRONIO 1 Alytus</t>
  </si>
  <si>
    <t>VARĖNOS 13 Alytus</t>
  </si>
  <si>
    <t>Lietuvininkų 7</t>
  </si>
  <si>
    <t>Mokolų 9</t>
  </si>
  <si>
    <t>Dariaus ir Girėno 11</t>
  </si>
  <si>
    <t>Gen. A.Gustaičio 4</t>
  </si>
  <si>
    <t>Kęstučio 7</t>
  </si>
  <si>
    <t>Aušros 42A</t>
  </si>
  <si>
    <t>Žiedo 7</t>
  </si>
  <si>
    <t>Raseinių   3</t>
  </si>
  <si>
    <t>Raseinių   5A</t>
  </si>
  <si>
    <t>Vilkaviškis (UAB „Litesko“ filialas "Vilkaviškio šiluma"</t>
  </si>
  <si>
    <t>Vienybės 70 Vilkaviškis</t>
  </si>
  <si>
    <t>Nepriklausomybės 62 Vilkaviškis</t>
  </si>
  <si>
    <t>Vilniaus 30A Virbalis</t>
  </si>
  <si>
    <t>Basanavičiaus a. 4 Vilkaviškis</t>
  </si>
  <si>
    <t>Vasario 16-ios 12 Pilviškiai</t>
  </si>
  <si>
    <t>Klaipėdos 46</t>
  </si>
  <si>
    <t>Medvalakio 15</t>
  </si>
  <si>
    <t>Taikos 14</t>
  </si>
  <si>
    <t>`</t>
  </si>
  <si>
    <t>KOSCIUŠKOS12</t>
  </si>
  <si>
    <t>NERAVŲ 39C</t>
  </si>
  <si>
    <t>KLONIO 18A</t>
  </si>
  <si>
    <t>NERAVŲ 2B</t>
  </si>
  <si>
    <t>VEISIEJŲ 28</t>
  </si>
  <si>
    <t>VEISIEJŲ 12</t>
  </si>
  <si>
    <t>VERPĖJŲ 2A</t>
  </si>
  <si>
    <t>NERAVŲ 29</t>
  </si>
  <si>
    <t>ČIURLIONIO 85</t>
  </si>
  <si>
    <t>MELIORATORIŲ 4</t>
  </si>
  <si>
    <t>M.Daukšos 40</t>
  </si>
  <si>
    <t>Naftininkų 80</t>
  </si>
  <si>
    <t>Žemaitijos 18</t>
  </si>
  <si>
    <t>Aušros g. 99(renov.), Utena</t>
  </si>
  <si>
    <t>Aušros g. 89 IIk.(renov.),Utena</t>
  </si>
  <si>
    <t>Vaižganto g. 58, Utena</t>
  </si>
  <si>
    <t>Vaižganto g. 40, Utena</t>
  </si>
  <si>
    <t>Baranausko g. 17, Utena</t>
  </si>
  <si>
    <t>Baranausko g.14, Utena</t>
  </si>
  <si>
    <t>Kęstučio g. 4, Utena</t>
  </si>
  <si>
    <t>Sėlių g. 30b, Utena</t>
  </si>
  <si>
    <t>Naujųjų Valkininkų 2</t>
  </si>
  <si>
    <t>Renov.</t>
  </si>
  <si>
    <t>Naujųjų Valkininkų 1</t>
  </si>
  <si>
    <t>Gedimino g. 46, Kaišiadorys</t>
  </si>
  <si>
    <t>Gedimino g. 75, Kaišiadorys</t>
  </si>
  <si>
    <t>Atgimimo g. 16, Ignalina</t>
  </si>
  <si>
    <t>Aukštaičių g. 7, Ignalina</t>
  </si>
  <si>
    <t>Vaitkaus 6, Prienai(renov.)</t>
  </si>
  <si>
    <t>Stadiono 10 3L.,Prienai</t>
  </si>
  <si>
    <t>Basanavičiaus 10, Prienai</t>
  </si>
  <si>
    <t>Jaunimo 19, Balbieriškis</t>
  </si>
  <si>
    <t>Jaunimo 9, Balbieriškis</t>
  </si>
  <si>
    <t>Vytauto 30, Prienai</t>
  </si>
  <si>
    <t>Trakų 12, Trakai</t>
  </si>
  <si>
    <t>Tujų 1, Lentvaris</t>
  </si>
  <si>
    <t>Lauko 4, Lentvaris</t>
  </si>
  <si>
    <t>Gimnazijos g. 34</t>
  </si>
  <si>
    <t>V. Kudirkos g. 57</t>
  </si>
  <si>
    <t>Vytauto g. 3</t>
  </si>
  <si>
    <t>Maironio g.25</t>
  </si>
  <si>
    <t>D.Poškos g.14</t>
  </si>
  <si>
    <t>Dariaus ir Girėno g.47</t>
  </si>
  <si>
    <t>D.Poškos g.16</t>
  </si>
  <si>
    <t xml:space="preserve"> PANERIŲ 6 (renovuotas)</t>
  </si>
  <si>
    <t xml:space="preserve"> LIETAVOS 45</t>
  </si>
  <si>
    <t xml:space="preserve"> KOSMONAUTŲ 3B</t>
  </si>
  <si>
    <t>KAUNO 68</t>
  </si>
  <si>
    <t>Dariaus ir Girėno 51, Pakruojis</t>
  </si>
  <si>
    <t>Pergalės 4, Pakruojis</t>
  </si>
  <si>
    <t>L.Giros 1, Pakruojis</t>
  </si>
  <si>
    <t>P.Mašioto 53, Pakruojis</t>
  </si>
  <si>
    <t>P.Mašioto 67, Pakruojis</t>
  </si>
  <si>
    <t>Dariaus ir Girėno 53, Pakruojis</t>
  </si>
  <si>
    <t>P.Mašioto 65, Pakruojis</t>
  </si>
  <si>
    <t>V.Didžiojo 78, Pakruojis</t>
  </si>
  <si>
    <t>P.Mašioto 55, Pakruojis</t>
  </si>
  <si>
    <t>Taikos 18A, Pakruojis</t>
  </si>
  <si>
    <t>Vilniaus 32, Pakruojis</t>
  </si>
  <si>
    <t>Vilniaus 28, Pakruojis</t>
  </si>
  <si>
    <t>Vilniaus 34, Pakruojis</t>
  </si>
  <si>
    <t>V.Didžiojo 35, Pakruojis</t>
  </si>
  <si>
    <t>Vasario 16-osios 15,Pakruojis</t>
  </si>
  <si>
    <t>Joniškėlio 8, Linkuva</t>
  </si>
  <si>
    <t>Mažoji 1, Pakruojo k.</t>
  </si>
  <si>
    <t>Taikos 26, Pakruojis</t>
  </si>
  <si>
    <t>Basanavičiaus 2a,Pakruojis</t>
  </si>
  <si>
    <t>Kęstučio 8, Pakruojis</t>
  </si>
  <si>
    <t>Vasario 16-osios 13,Pakruojis</t>
  </si>
  <si>
    <t>S.Ušinsko 22, Pakruojis</t>
  </si>
  <si>
    <t>Birštonas (UAB"Birštono šiluma")</t>
  </si>
  <si>
    <t>Pakruojis (UAB „Pakruojo šiluma“)</t>
  </si>
  <si>
    <t>Šilumos suvartojimo ir mokėjimų už šilumą analizė Lietuvos miestų daugiabučiuose gyvenamuosiuose namuose (2012 m. sausio mėn)</t>
  </si>
  <si>
    <t>vidutinė lauko oro temperatūra: -3,7 C; dienolaipsniai: 671</t>
  </si>
  <si>
    <t>vidutinė lauko oro temperatūra: -2,9 °C; dienolaipsniai:647,9</t>
  </si>
  <si>
    <t>vidutinė lauko oro temperatūra: 0,4 °C; dienolaipsniai:545,6</t>
  </si>
  <si>
    <t>Debreceno g. 84</t>
  </si>
  <si>
    <t>Dragūnų g. 6</t>
  </si>
  <si>
    <t>I.Simonaitytės g. 3 ®</t>
  </si>
  <si>
    <t>Taikos pr. 116</t>
  </si>
  <si>
    <t>Baltijos pr. 71 ®</t>
  </si>
  <si>
    <t>Dragūnų g. 12</t>
  </si>
  <si>
    <t>Taikos pr. 146</t>
  </si>
  <si>
    <t>H.Manto g. 44 ®</t>
  </si>
  <si>
    <t>Reikjaviko g. 10</t>
  </si>
  <si>
    <t>Bandužių g. 17</t>
  </si>
  <si>
    <t>Liubeko g. 7 ®</t>
  </si>
  <si>
    <t>Pilies g. 5 ®</t>
  </si>
  <si>
    <t>Rumpiškės g. 18</t>
  </si>
  <si>
    <t>Naujoji Sodo g. 1C</t>
  </si>
  <si>
    <t>Ryšininkų g. 6</t>
  </si>
  <si>
    <t>Vingio g. 2 ®</t>
  </si>
  <si>
    <t>Markučių g. 2</t>
  </si>
  <si>
    <t>Žardininkų g. 11</t>
  </si>
  <si>
    <t>Dzūkų g. 6</t>
  </si>
  <si>
    <t>S.Daukanto g. 22</t>
  </si>
  <si>
    <t>Šilutės pl. 18</t>
  </si>
  <si>
    <t>S.Daukanto g. 4</t>
  </si>
  <si>
    <t>Galinio pylimo g. 15</t>
  </si>
  <si>
    <t>Taikos pr. 3</t>
  </si>
  <si>
    <t>Mokyklos g. 21</t>
  </si>
  <si>
    <t>Vingio g. 35</t>
  </si>
  <si>
    <t>Danės g. 9</t>
  </si>
  <si>
    <t>Tilžės g. 31</t>
  </si>
  <si>
    <t>Minijos g. 149</t>
  </si>
  <si>
    <t>S.Daukanto g. 25</t>
  </si>
  <si>
    <t>Danės g. 37</t>
  </si>
  <si>
    <t>Žvejų g. 19</t>
  </si>
  <si>
    <t>H.Manto g. 1</t>
  </si>
  <si>
    <r>
      <t xml:space="preserve">vidutinė lauko oro temperatūra: -3,5 </t>
    </r>
    <r>
      <rPr>
        <sz val="10"/>
        <color indexed="12"/>
        <rFont val="Calibri"/>
        <family val="2"/>
      </rPr>
      <t>°</t>
    </r>
    <r>
      <rPr>
        <i/>
        <sz val="10"/>
        <color indexed="12"/>
        <rFont val="Arial"/>
        <family val="2"/>
      </rPr>
      <t>C; dienolaipsniai:666,5</t>
    </r>
  </si>
  <si>
    <t>Kviečių g. 56 (renov.)</t>
  </si>
  <si>
    <t>Vytauto g. 154 (renov.)</t>
  </si>
  <si>
    <t>Spindulio g. 3</t>
  </si>
  <si>
    <t>Talšos g. 6</t>
  </si>
  <si>
    <t>Grinkevičiaus g. 4 (renov.)</t>
  </si>
  <si>
    <t>Statybininkų g. 5</t>
  </si>
  <si>
    <t>Gardino g. 5 (renov.)</t>
  </si>
  <si>
    <t>Aušros takas 7</t>
  </si>
  <si>
    <t>Vytauto g. 134</t>
  </si>
  <si>
    <t>Vytauto g. 131</t>
  </si>
  <si>
    <t>Dainų g. 10A</t>
  </si>
  <si>
    <t>Tilžės g. 51</t>
  </si>
  <si>
    <t>St. Šalkauskio g. 10</t>
  </si>
  <si>
    <t>Verdulių g. 31</t>
  </si>
  <si>
    <t>Dainų g. 25</t>
  </si>
  <si>
    <t>Trakų g. 32</t>
  </si>
  <si>
    <t>Ežero g. 12A</t>
  </si>
  <si>
    <t>Vyatuto g. 102</t>
  </si>
  <si>
    <t>P. Višinskio g. 14</t>
  </si>
  <si>
    <t>Tilžės g. 126A</t>
  </si>
  <si>
    <t>Tilžės g. 134</t>
  </si>
  <si>
    <t>A. Mickevičiaus g. 38</t>
  </si>
  <si>
    <t>Vilniaus g. 213A</t>
  </si>
  <si>
    <t>vidutinė lauko oro temperatūra: -2,5 °C, dienolaipsniai 635,5</t>
  </si>
  <si>
    <t>VINGIO 6 Alytus</t>
  </si>
  <si>
    <t>PUTINŲ 24A Alytus</t>
  </si>
  <si>
    <t>LIKIŠKĖLIŲ 80 Alytus</t>
  </si>
  <si>
    <t>UŽUOLANKOS 24A Alytus</t>
  </si>
  <si>
    <t>Vandens takas 6 Alytus</t>
  </si>
  <si>
    <t>JAZMINŲ 12 Alytus</t>
  </si>
  <si>
    <t>VOLUNGĖS 29 Alytus</t>
  </si>
  <si>
    <t>JAZMINŲ 2 Alytus</t>
  </si>
  <si>
    <t>Dariaus ir Girėno 6 Alytus</t>
  </si>
  <si>
    <t>VOLUNGĖS 22 Alytus</t>
  </si>
  <si>
    <t>PUTINŲ 24B Alytus</t>
  </si>
  <si>
    <t>vidutinė lauko oro temperatūra: -3,2 °C, dienolaipsniai 657,2</t>
  </si>
  <si>
    <t>Vilniaus 56</t>
  </si>
  <si>
    <t>Kęstučio 4</t>
  </si>
  <si>
    <t>Vilniaus 91a</t>
  </si>
  <si>
    <t>Vilniaus 6</t>
  </si>
  <si>
    <t>Marijampolė  (UAB „Litesko“ filialas "Marijampolės šiluma"</t>
  </si>
  <si>
    <t>Kauno 15</t>
  </si>
  <si>
    <t>Vytauto 20</t>
  </si>
  <si>
    <t>Vytenio 8</t>
  </si>
  <si>
    <t>Artojų 21</t>
  </si>
  <si>
    <t>Draugystės 3</t>
  </si>
  <si>
    <t>Kumelionys 2</t>
  </si>
  <si>
    <t>Vytauto 15</t>
  </si>
  <si>
    <t>Kauno 142</t>
  </si>
  <si>
    <t>Kauno 37</t>
  </si>
  <si>
    <t>Vytauto 21</t>
  </si>
  <si>
    <t>vidutinė lauko oro temperatūra: -3,3 °C, dienolaipsniai 660</t>
  </si>
  <si>
    <t>Birutės   2</t>
  </si>
  <si>
    <t>Birutės   3</t>
  </si>
  <si>
    <t>Dariaus ir Girėno    2A</t>
  </si>
  <si>
    <t>Birutės   4</t>
  </si>
  <si>
    <t>Dariaus ir Girėno    4B</t>
  </si>
  <si>
    <t>Dariaus ir Girėno    2</t>
  </si>
  <si>
    <t>Birutės   7</t>
  </si>
  <si>
    <t>žemaitės   51</t>
  </si>
  <si>
    <t>Masčio 54, Telšiai</t>
  </si>
  <si>
    <t>Dariaus ir Girėno 15, Telšiai</t>
  </si>
  <si>
    <t>Dariaus ir Girėno 13, Telšiai</t>
  </si>
  <si>
    <t>Lygumų 49, Telšiai</t>
  </si>
  <si>
    <t>Beržų 2, Telšiai</t>
  </si>
  <si>
    <t>Kauno 17, Telšiai</t>
  </si>
  <si>
    <t>Kęstučio 19, Telšiai</t>
  </si>
  <si>
    <t>Vilniaus 36 , Telšiai</t>
  </si>
  <si>
    <t>Birutės 12, Telšiai</t>
  </si>
  <si>
    <t>Vilniaus 26, Telšiai</t>
  </si>
  <si>
    <t>Vilniaus 34, Telšiai</t>
  </si>
  <si>
    <t>Luokės 77, Telšiai</t>
  </si>
  <si>
    <t>Rambyno 16A, Telšiai</t>
  </si>
  <si>
    <t>Saulėtekio 16, Telšiai</t>
  </si>
  <si>
    <t>Birutės 32, Telšiai</t>
  </si>
  <si>
    <t>Masčio 58, Telšiai</t>
  </si>
  <si>
    <t>Luokės 69, Telšiai</t>
  </si>
  <si>
    <t>Luokės 83, Telšiai</t>
  </si>
  <si>
    <t>Žemaitės 28, Telšiai</t>
  </si>
  <si>
    <t>Masčio 44, Telšiai</t>
  </si>
  <si>
    <t>Daukanto 43, Telšiai</t>
  </si>
  <si>
    <t>Liepų 5, Rainiai</t>
  </si>
  <si>
    <t>Pasvaigės 4, Telšiai</t>
  </si>
  <si>
    <t>Kęstučio 25, Telšiai</t>
  </si>
  <si>
    <t>Stoties 10, Telšiai</t>
  </si>
  <si>
    <t>Stoties 12, Telšiai</t>
  </si>
  <si>
    <t>Luokės 73, Telšiai</t>
  </si>
  <si>
    <t>Petrausko 22, Rainiai</t>
  </si>
  <si>
    <t>Šviesos 23, Telšiai</t>
  </si>
  <si>
    <t>Stoties 16, Telšiai</t>
  </si>
  <si>
    <t>Sedos 3, Telšiai</t>
  </si>
  <si>
    <t>Sinagogos 4, Telšiai</t>
  </si>
  <si>
    <t>Šviesos 27, Telšiai</t>
  </si>
  <si>
    <t>Respublikos 20, Telšiai</t>
  </si>
  <si>
    <t>Daukanto 14, Telšiai</t>
  </si>
  <si>
    <t>Šviesos 25, Telšiai</t>
  </si>
  <si>
    <t>Turgaus a. 21, Telšiai</t>
  </si>
  <si>
    <t>Luokės 33, Telšiai</t>
  </si>
  <si>
    <t>Kęstučio 21, Telšiai</t>
  </si>
  <si>
    <t>Šviesos 29, Telšiai</t>
  </si>
  <si>
    <t>vidutinė lauko oro temperatūra: -1,7 °C, dienolaipsniai 610,7</t>
  </si>
  <si>
    <t>Darvino 36 Kybartai</t>
  </si>
  <si>
    <t>Vištyčio 36 Kybartai</t>
  </si>
  <si>
    <t>Dvaro 23 Paežeriai</t>
  </si>
  <si>
    <t>K.Naumiesčio 13 Kybartai</t>
  </si>
  <si>
    <t>Vilniaus 6 Vilkaviškis</t>
  </si>
  <si>
    <t>Dvaro 9 Paežeriai</t>
  </si>
  <si>
    <t>Kęstučio 7 Vilkaviškis</t>
  </si>
  <si>
    <t>Vienybės 1 A Vilkaviškis</t>
  </si>
  <si>
    <t>Vasario 16-ios 4 Pilviškiai</t>
  </si>
  <si>
    <t>vidutinė lauko oro temperatūra: -1,1 °C, dienolaipsniai 592,1</t>
  </si>
  <si>
    <t>vidutinė lauko oro temperatūra: -3,1 °C, dienolaipsniai 654,1</t>
  </si>
  <si>
    <t>NERAVŲ 2A</t>
  </si>
  <si>
    <t>VEISIEJŲ 24</t>
  </si>
  <si>
    <t>VERPĖJŲ 2</t>
  </si>
  <si>
    <t>GARDINO 41</t>
  </si>
  <si>
    <t>ŠV.JOKŪBO 24</t>
  </si>
  <si>
    <t>VERPĖJŲ 18</t>
  </si>
  <si>
    <t>VEISIEJŲ 7</t>
  </si>
  <si>
    <t>TAIKOS 3</t>
  </si>
  <si>
    <r>
      <t xml:space="preserve">vidutinė lauko oro temperatūra: -1,9 </t>
    </r>
    <r>
      <rPr>
        <sz val="10"/>
        <color indexed="12"/>
        <rFont val="Calibri"/>
        <family val="2"/>
      </rPr>
      <t>°</t>
    </r>
    <r>
      <rPr>
        <i/>
        <sz val="10"/>
        <color indexed="12"/>
        <rFont val="Arial"/>
        <family val="2"/>
      </rPr>
      <t>C; dienolaipsniai: 616,9</t>
    </r>
  </si>
  <si>
    <t>Sodų g.10-ojo NSB(renov.)</t>
  </si>
  <si>
    <t>P.Vileišio 4 (renov.)</t>
  </si>
  <si>
    <t>Laisvės g.40-jo NSB(renov.)</t>
  </si>
  <si>
    <t>Gamyklos 3(renovuojamas)</t>
  </si>
  <si>
    <t>Laisvės 27 (renov.)</t>
  </si>
  <si>
    <t>Skuodo 15B</t>
  </si>
  <si>
    <t>Ventos 75</t>
  </si>
  <si>
    <t>Gamyklos 15 NSB(renov-mas)</t>
  </si>
  <si>
    <t>Naftininkų 60</t>
  </si>
  <si>
    <t>Žemaitijos 5</t>
  </si>
  <si>
    <t>Naftininkų 50</t>
  </si>
  <si>
    <t>Naftininkų 64</t>
  </si>
  <si>
    <t>Žemaitijos 8</t>
  </si>
  <si>
    <t>J.Tumo-Vaižganto 4</t>
  </si>
  <si>
    <t>Ventos 87</t>
  </si>
  <si>
    <t>Pavasario 15</t>
  </si>
  <si>
    <t>Sodų 20</t>
  </si>
  <si>
    <t>Naftininkų 20</t>
  </si>
  <si>
    <t>Draugystės 16</t>
  </si>
  <si>
    <t>M.Daukšos 52</t>
  </si>
  <si>
    <t>Naftininkų 28</t>
  </si>
  <si>
    <t>Draugystės 20</t>
  </si>
  <si>
    <t>Pavasario 31A</t>
  </si>
  <si>
    <t>V.Burbos 4</t>
  </si>
  <si>
    <t>Tylioji 10</t>
  </si>
  <si>
    <t>Laisvės 220</t>
  </si>
  <si>
    <t>Mindaugo 4</t>
  </si>
  <si>
    <t>Žemaitijos 9</t>
  </si>
  <si>
    <t>Ventos 33</t>
  </si>
  <si>
    <t>Mažeikių 3(Viekšniai)</t>
  </si>
  <si>
    <r>
      <t xml:space="preserve">vidutinė lauko oro temperatūra: -3,6 </t>
    </r>
    <r>
      <rPr>
        <sz val="10"/>
        <color indexed="12"/>
        <rFont val="Calibri"/>
        <family val="2"/>
      </rPr>
      <t>°</t>
    </r>
    <r>
      <rPr>
        <i/>
        <sz val="10"/>
        <color indexed="12"/>
        <rFont val="Arial"/>
        <family val="2"/>
      </rPr>
      <t>C; dienolaipsniai : 691,2</t>
    </r>
  </si>
  <si>
    <t>Aušros g. 100, Utena</t>
  </si>
  <si>
    <t>Basanavičiaus g. 117, Utena</t>
  </si>
  <si>
    <t>Aušros g .83, Utena</t>
  </si>
  <si>
    <t>Taikos g. 24, Utena</t>
  </si>
  <si>
    <t>Aukštalkalnio g .116, Utena</t>
  </si>
  <si>
    <t>Kampo g. 3, Utena</t>
  </si>
  <si>
    <t>Aušros g. 56, Utena</t>
  </si>
  <si>
    <t>Aukštaičių g. 11, Utena</t>
  </si>
  <si>
    <t>Aukštakalnio g. 14,16, Utena</t>
  </si>
  <si>
    <t>Taikos g. 80, Utena</t>
  </si>
  <si>
    <t>Basanavičiaus g. 106, Utena</t>
  </si>
  <si>
    <t>Aukštakalnio g. 6,8, Utena</t>
  </si>
  <si>
    <t>Donelaičio g.12, Utena</t>
  </si>
  <si>
    <t>Maironio g. 17,Utena</t>
  </si>
  <si>
    <t>Tauragnų g. 4, Utena</t>
  </si>
  <si>
    <r>
      <t xml:space="preserve">vidutinė lauko oro temperatūra: -3,2 </t>
    </r>
    <r>
      <rPr>
        <sz val="10"/>
        <color indexed="12"/>
        <rFont val="Arial"/>
        <family val="2"/>
      </rPr>
      <t>°</t>
    </r>
    <r>
      <rPr>
        <i/>
        <sz val="10"/>
        <color indexed="12"/>
        <rFont val="Arial"/>
        <family val="2"/>
      </rPr>
      <t>C; dienolaipsniai 657,2</t>
    </r>
  </si>
  <si>
    <t>Jucio 14 (dalinai renovuotas)</t>
  </si>
  <si>
    <t>Gandingos 10</t>
  </si>
  <si>
    <t>A.Jucio 28</t>
  </si>
  <si>
    <t>Gandingos 12</t>
  </si>
  <si>
    <t>Dariaus ir Girėno 51</t>
  </si>
  <si>
    <t>Senamiesčio 2</t>
  </si>
  <si>
    <t>vidutinė lauko oro temperatūra: -3,5 °C; dienolaipsniai 666,5</t>
  </si>
  <si>
    <t>Jaunystės 35 (renovuotas)</t>
  </si>
  <si>
    <t>Laisvės al. 36 (renovuotas)</t>
  </si>
  <si>
    <t>Gedimino 3</t>
  </si>
  <si>
    <t>Gedimino 1</t>
  </si>
  <si>
    <t>Vaižganto 30b</t>
  </si>
  <si>
    <t>Vaižganto 30c</t>
  </si>
  <si>
    <t>Stiklo 12</t>
  </si>
  <si>
    <t>Kaštonų 6a</t>
  </si>
  <si>
    <t>Kudirkos 4</t>
  </si>
  <si>
    <t>Povyliaus 5</t>
  </si>
  <si>
    <t>Vytauto 1</t>
  </si>
  <si>
    <t>Povyliaus 4</t>
  </si>
  <si>
    <t>Maironio 5</t>
  </si>
  <si>
    <t>Topolių 8</t>
  </si>
  <si>
    <t>Stiklo 1a</t>
  </si>
  <si>
    <t>Kražių 12</t>
  </si>
  <si>
    <t>vidutinė lauko oro temperatūra: -3,6 °C; dienolaipsniai 669,6</t>
  </si>
  <si>
    <t>Marcinkonių g. 22</t>
  </si>
  <si>
    <t>M.K.Čiurlionio g. 11</t>
  </si>
  <si>
    <t>Marcinkonių g. 12</t>
  </si>
  <si>
    <t>Dzūkų g. 36</t>
  </si>
  <si>
    <t>J.Basanavičiaus g. 21</t>
  </si>
  <si>
    <t>Dzūkų g. 62</t>
  </si>
  <si>
    <t>Marcinkonių g. 8</t>
  </si>
  <si>
    <t>Dzūkų g. 21</t>
  </si>
  <si>
    <t>Transporto g. 9</t>
  </si>
  <si>
    <t>Dzūkų g. 44</t>
  </si>
  <si>
    <t>Dzūkų g. 68</t>
  </si>
  <si>
    <t>J.Basanavičiaus g. 6</t>
  </si>
  <si>
    <t>Žalioji g. 33</t>
  </si>
  <si>
    <t>Melioratorių g.9</t>
  </si>
  <si>
    <t>V.Krėvės g. 9</t>
  </si>
  <si>
    <t>Vytauto g. 15</t>
  </si>
  <si>
    <t>Sporto g. 8</t>
  </si>
  <si>
    <t>Savanorių g. 44</t>
  </si>
  <si>
    <t>Dzūkų g.17</t>
  </si>
  <si>
    <t>Sporto g. 10</t>
  </si>
  <si>
    <t>Sporto g. 14</t>
  </si>
  <si>
    <t>Vytauto g. 19A</t>
  </si>
  <si>
    <t>Vasario 16-osios g. 4</t>
  </si>
  <si>
    <t>V.Krėvės g. 4</t>
  </si>
  <si>
    <t>Vytauto g. 73</t>
  </si>
  <si>
    <t>Girelės g. 51, Kaišiadorys</t>
  </si>
  <si>
    <t>iki 1992m.</t>
  </si>
  <si>
    <t>Girelės g. 43, Kaišiadorys</t>
  </si>
  <si>
    <t>Gedimino g. 125, Kaišiadorys</t>
  </si>
  <si>
    <t>Gedimino g. 129, Kaišiadorys</t>
  </si>
  <si>
    <t>Girelės g. 47, Kaišiadorys</t>
  </si>
  <si>
    <t>V. Ruokio g. 5, Kaišiadorys</t>
  </si>
  <si>
    <t>Gedimino g. 113, Kaišiadorys</t>
  </si>
  <si>
    <t>J. Basanavičiaus g. 1</t>
  </si>
  <si>
    <t>Pavasario g. 4, Kaišiadorys</t>
  </si>
  <si>
    <t>V. Ruokio g. 3, Kaišiadorys</t>
  </si>
  <si>
    <t>Parko g. 25, Kaišiadorys</t>
  </si>
  <si>
    <t>Parko g. 23, Kaišiadorys</t>
  </si>
  <si>
    <t>Gedimino g. 30, Kaišiadorys</t>
  </si>
  <si>
    <t>Gedimino g. 58, Kaišiadorys</t>
  </si>
  <si>
    <t>Žąslių g. 62 A, Žiežmariai</t>
  </si>
  <si>
    <t>vidutinė lauko oro temperatūra: -2,9 °C; dienolaipsniai 647,9</t>
  </si>
  <si>
    <t>vidutinė lauko oro temperatūra: -4,8 °C, dienolaipsniai 707</t>
  </si>
  <si>
    <t>Ateities g. 20, Ignalina (ren. )</t>
  </si>
  <si>
    <t>Turistų g. 47, Ignalina ( ren. )</t>
  </si>
  <si>
    <t>Atgimimo g. 33, Ignalina (ren. )</t>
  </si>
  <si>
    <t>Atgimimo g. 14, Ignalina (ren. )12</t>
  </si>
  <si>
    <t>Aukštaičių g. 48, Ignalina (ren.)</t>
  </si>
  <si>
    <t>Liepų g. 1, Ignalina</t>
  </si>
  <si>
    <t xml:space="preserve">Aukštaičių g. 3, Ignalina </t>
  </si>
  <si>
    <t>Aukštaičių g. 31, Ignalina</t>
  </si>
  <si>
    <t xml:space="preserve">Sodų g. 4, Vidiškių k. Ignalinos raj. </t>
  </si>
  <si>
    <t>Statybininkų 19, Prienai(renov.)</t>
  </si>
  <si>
    <t>Birutės 4, Prienai</t>
  </si>
  <si>
    <t>Vytauto 22, Prienai</t>
  </si>
  <si>
    <t>Kęstučio 81g,Prienai</t>
  </si>
  <si>
    <t>Parko 10, Balbieriškis</t>
  </si>
  <si>
    <t>Jaunimo 13, Balbieriškis</t>
  </si>
  <si>
    <t>Vytauto 27 1L.,Prienai</t>
  </si>
  <si>
    <t>Stadiono 12, Prienai</t>
  </si>
  <si>
    <t>Stadiono 24A, Prienai</t>
  </si>
  <si>
    <t>Stadiono 24 1L.,Prienai</t>
  </si>
  <si>
    <t>Basanavičiaus 19, Prienai</t>
  </si>
  <si>
    <t>Statybininkų 7 2L., Prienai</t>
  </si>
  <si>
    <t>Brundzos 11, Prienai</t>
  </si>
  <si>
    <t>Stadiono 20 2L.,Prienai</t>
  </si>
  <si>
    <t>Vytauto 14, Prienai</t>
  </si>
  <si>
    <t>Kęstučio 71,Prienai</t>
  </si>
  <si>
    <t>Vytauto 13, Prienai</t>
  </si>
  <si>
    <t>Stadiono 22 1L.,Prienai</t>
  </si>
  <si>
    <t>Vytauto 4a, Prienai</t>
  </si>
  <si>
    <t>Laisvės a.3/14, Prienai</t>
  </si>
  <si>
    <r>
      <t xml:space="preserve">vidutinė lauko oro temperatūra: -2,9 </t>
    </r>
    <r>
      <rPr>
        <sz val="10"/>
        <color indexed="12"/>
        <rFont val="Arial"/>
        <family val="2"/>
      </rPr>
      <t>°</t>
    </r>
    <r>
      <rPr>
        <i/>
        <sz val="10"/>
        <color indexed="12"/>
        <rFont val="Arial"/>
        <family val="2"/>
      </rPr>
      <t>C, dienolaipsniai 647,9</t>
    </r>
  </si>
  <si>
    <t xml:space="preserve">vidutinė lauko oro temperatūra: -3,5 °C, dienolaipsniai </t>
  </si>
  <si>
    <t>Saulėtekio  50, Pakruojis</t>
  </si>
  <si>
    <t>P.Mašioto 63, Pakruojis</t>
  </si>
  <si>
    <t>P.Mašioto 43A, Pakruojis</t>
  </si>
  <si>
    <t>Saulėtekio  36, Pakruojis</t>
  </si>
  <si>
    <t>Mažoji 3, Pakruojo k.</t>
  </si>
  <si>
    <t>l.Giros 8, Pakruojis</t>
  </si>
  <si>
    <t>joniškėlio 2, Linkuva</t>
  </si>
  <si>
    <t>kęstučio 2, Pakruojis</t>
  </si>
  <si>
    <t xml:space="preserve">        -</t>
  </si>
  <si>
    <t>Technikumo 11, Aukštadvaris</t>
  </si>
  <si>
    <t>Mindaugo 18, Trakai</t>
  </si>
  <si>
    <t>Sodų 23a, Lentvaris</t>
  </si>
  <si>
    <t>Geležinkelio 26, Lentvaris</t>
  </si>
  <si>
    <t>Vytauto 4,Lentvaris</t>
  </si>
  <si>
    <t>Vilniaus 33,Aukštadvaris</t>
  </si>
  <si>
    <t>N.Sodybos 36, Lentvaris</t>
  </si>
  <si>
    <t>Pakalnės 5, Lentvaris</t>
  </si>
  <si>
    <t>Vytauto 78, Trakai</t>
  </si>
  <si>
    <t>Ežero 10, Lentvaris</t>
  </si>
  <si>
    <t xml:space="preserve">      -</t>
  </si>
  <si>
    <t>Skrebės 2, Aukštadvaris</t>
  </si>
  <si>
    <t>Nerūdininkų 7, S.Trakai</t>
  </si>
  <si>
    <t>Vytauto 44, Trakai</t>
  </si>
  <si>
    <t>Vienuolyno 11a, Trakai</t>
  </si>
  <si>
    <t>Klevų al. 387a, Lentvaris</t>
  </si>
  <si>
    <t>Technikumo 8, Aukštadvaris</t>
  </si>
  <si>
    <t>Vytauto 66, Trakai</t>
  </si>
  <si>
    <t>Technikumo 3, Aukštadvaris</t>
  </si>
  <si>
    <t>Karaimų 26a, Trakai</t>
  </si>
  <si>
    <t>Lauko 6, Lentvaris</t>
  </si>
  <si>
    <t>Vytauto 74, Trakai</t>
  </si>
  <si>
    <t>Bažnyčios 11, Lentvaris</t>
  </si>
  <si>
    <t>vidutinė lauko oro temperatūra: -3,9 °C, dienolaipsniai 678,9</t>
  </si>
  <si>
    <t>Vidutinė lauko oro temperatūra: -2,5 °C, dienolaipsniai 636</t>
  </si>
  <si>
    <t>Kęstučio g.21</t>
  </si>
  <si>
    <t>V. Kudirkos g. 82</t>
  </si>
  <si>
    <t>S. Banaičio g. 4</t>
  </si>
  <si>
    <t>Šaulių g. 24</t>
  </si>
  <si>
    <t>Bažnyčios g. 13</t>
  </si>
  <si>
    <t>V. Kudirkos g. 39</t>
  </si>
  <si>
    <t>Vytauto g. 17</t>
  </si>
  <si>
    <t>Šaulių g. 18</t>
  </si>
  <si>
    <t>Vytauto g. 21</t>
  </si>
  <si>
    <t>V. Kudirkos g. 53</t>
  </si>
  <si>
    <t>Vytauto g. 19</t>
  </si>
  <si>
    <t>D.Poškos g.7</t>
  </si>
  <si>
    <t>D.Poškos g.6</t>
  </si>
  <si>
    <t>Žalioji g.1,Kvėdarna</t>
  </si>
  <si>
    <t>Jauniaus g.5c,Kvėdarna</t>
  </si>
  <si>
    <t>Žalioji g.3, Kvėdarna</t>
  </si>
  <si>
    <t>Žalioji g.5a, Kvėdarna</t>
  </si>
  <si>
    <t>Kovo 11-osios g.2</t>
  </si>
  <si>
    <t>Dariau ir Girėno g.49</t>
  </si>
  <si>
    <t>Dariau ir Girėno g.51</t>
  </si>
  <si>
    <t>vidutinė lauko oro temperatūra: -2,2 °C, dienolaipsniai 626,2</t>
  </si>
  <si>
    <t>vidutinė lauko oro temperatūra: -2,9 °C, dienolaipsniai 647,9</t>
  </si>
  <si>
    <t xml:space="preserve"> PANERIŲ 19 (renovuotas)</t>
  </si>
  <si>
    <t xml:space="preserve"> CHEMIKŲ 86 (renovuotas)</t>
  </si>
  <si>
    <t xml:space="preserve"> KOSMONAUTŲ 9 (renovuotas)</t>
  </si>
  <si>
    <t xml:space="preserve"> PANERIŲ 21(renovuotas)</t>
  </si>
  <si>
    <t xml:space="preserve"> BIRUTĖS 7 (renovuotas)</t>
  </si>
  <si>
    <t>J.RALIO 10 (renovuotas)</t>
  </si>
  <si>
    <t xml:space="preserve"> CHEMIKŲ 92C (renovuotas)</t>
  </si>
  <si>
    <t>A.KULVIEčIO 4</t>
  </si>
  <si>
    <t>CHEMIKŲ 23</t>
  </si>
  <si>
    <t>GIRELĖS 5</t>
  </si>
  <si>
    <t>A.KULVIEČIO 11</t>
  </si>
  <si>
    <t>CHEMIKŲ 28</t>
  </si>
  <si>
    <t xml:space="preserve"> AUŠROS 1A</t>
  </si>
  <si>
    <t>A. KULVIEČIO 19</t>
  </si>
  <si>
    <t xml:space="preserve"> CHEMIKŲ 4</t>
  </si>
  <si>
    <t>ŽALIOJI 6</t>
  </si>
  <si>
    <t xml:space="preserve"> KALNU 25/10</t>
  </si>
  <si>
    <t xml:space="preserve"> VASARIO 16-OS 13</t>
  </si>
  <si>
    <t xml:space="preserve"> CHEMIKŲ 51</t>
  </si>
  <si>
    <t xml:space="preserve"> SODŲ 93  II KORP.</t>
  </si>
  <si>
    <t>ŽEIMIŲ TAKAS 6</t>
  </si>
  <si>
    <t>CHEMIKŲ 130</t>
  </si>
  <si>
    <t xml:space="preserve"> GIRELĖS 2A</t>
  </si>
  <si>
    <t xml:space="preserve"> KAUNO 94</t>
  </si>
  <si>
    <t xml:space="preserve"> CHEMIKŲ 24</t>
  </si>
  <si>
    <t>CHEMIKŲ 39</t>
  </si>
  <si>
    <t>P.VAIČIŪNO 10</t>
  </si>
  <si>
    <t>KĘSTUČIO 16A II LAIPT</t>
  </si>
  <si>
    <t xml:space="preserve"> LIETAVOS 1</t>
  </si>
  <si>
    <t xml:space="preserve"> MOKYKLOS 10</t>
  </si>
  <si>
    <t xml:space="preserve"> KOSMONAUTŲ 2B</t>
  </si>
  <si>
    <t xml:space="preserve"> KOSMONAUTŲ 2A</t>
  </si>
  <si>
    <t xml:space="preserve"> ŽEIMIŲ 26A</t>
  </si>
  <si>
    <t>vidutinė lauko oro temperatūra: -3,6 °C, dienolaipsniai 670</t>
  </si>
  <si>
    <t>VYTAUTO 1A</t>
  </si>
  <si>
    <t>DAR.IR GIRĖNO 23A IIL.</t>
  </si>
  <si>
    <t>SRUOGOS 10</t>
  </si>
  <si>
    <t>VILNIAUS 8</t>
  </si>
  <si>
    <t>LELIJŲ 13A</t>
  </si>
  <si>
    <t>VILNIAUS 6</t>
  </si>
  <si>
    <t>VILNIAUS 10 III L.</t>
  </si>
  <si>
    <t>KĘSTUČIO 25 IIL.</t>
  </si>
  <si>
    <t>KĘSTUČIO 27 IIL.</t>
  </si>
  <si>
    <t>KĘSTUČIO27 IL.</t>
  </si>
  <si>
    <t>DAR.IR GIRĖNO 23A IIIL.</t>
  </si>
  <si>
    <t>Akmenė (UAB „Akmenės energija")</t>
  </si>
  <si>
    <t>vidutinė lauko oro temperatūra: -3,5 °C, dienolaipsniai 666,5</t>
  </si>
  <si>
    <t>Respublikos 8 Naujoji Akmenė</t>
  </si>
  <si>
    <t>Stadiono 13 Akmenė</t>
  </si>
  <si>
    <t>Nepriklausomybės 8 Naujoji Akmenė</t>
  </si>
  <si>
    <t>Stadiono 7 Akmenė</t>
  </si>
  <si>
    <t>Respublikos 24 Naujoji Akmenė</t>
  </si>
  <si>
    <t>Ramučių39 Naujoji Akmenė</t>
  </si>
  <si>
    <t>Stadiono 17 Akmenė</t>
  </si>
  <si>
    <t>Nepriklausomybės4 Naujoji Akmenė</t>
  </si>
  <si>
    <t>Respublikos 6 Naujoji Akmenė</t>
  </si>
  <si>
    <t>Nepriklausomybės 10 Naujoji Akmenė</t>
  </si>
  <si>
    <t>Laižuvos 5 Akmenė</t>
  </si>
  <si>
    <t>Darbininkų 4 Naujoji Akmenė</t>
  </si>
  <si>
    <t>Ramučių 9 Naujoji Akmenė</t>
  </si>
  <si>
    <t>Ramučių 12 Naujoji Akmenė</t>
  </si>
  <si>
    <t>Nepriklausomybės 2b Naujoji Akmenė</t>
  </si>
  <si>
    <t>Stadiono 11 Akmenė</t>
  </si>
  <si>
    <t>Žalgirio 26Naujoji Akmenė</t>
  </si>
  <si>
    <t>L. Pelėdos 11 Naujoji Akmenė</t>
  </si>
  <si>
    <t>Ventos 16 Venta</t>
  </si>
  <si>
    <t>Bausko 5 Venta</t>
  </si>
  <si>
    <t>Bausko 8 Venta</t>
  </si>
  <si>
    <t>Nepriklausomybės30 Naujoji Akmenė</t>
  </si>
  <si>
    <t>Ventos 6 Venta</t>
  </si>
  <si>
    <t>Nepriklausomybės 27A Naujoji Akmenė</t>
  </si>
  <si>
    <t>Žalgirio 7 Naujoji Akmenė</t>
  </si>
  <si>
    <t>Anykščiai (UAB"Anykščių šiluma")</t>
  </si>
  <si>
    <t>vidutinė lauko oro temperatūra: -3,8 °C, dienolaipsniai 675,8</t>
  </si>
  <si>
    <t>Basanavičiaus g.48</t>
  </si>
  <si>
    <t>J. Biliūno g. 8</t>
  </si>
  <si>
    <t>Dariaus ir Girėno g.5</t>
  </si>
  <si>
    <t>J. Biliūno g. 10</t>
  </si>
  <si>
    <t>J. Biliūno g. 20</t>
  </si>
  <si>
    <t>Basanavičiaus g.50</t>
  </si>
  <si>
    <t>Statybininkų g. 23</t>
  </si>
  <si>
    <t>Statybininkų g.19</t>
  </si>
  <si>
    <t>Basanavičiaus g. 60</t>
  </si>
  <si>
    <t>Statybininkų g.21</t>
  </si>
  <si>
    <t>Raseiniai (UAB "Raseinių šilumos tinklai")</t>
  </si>
  <si>
    <t>vidutinė lauko oro temperatūra: -3,3 °C; dienolaipsniai 660,3</t>
  </si>
  <si>
    <t>Vytauto Didžiojo 31</t>
  </si>
  <si>
    <t>Ateities 19</t>
  </si>
  <si>
    <t>Vytauto Didžiojo 41</t>
  </si>
  <si>
    <t>Algirdo 25</t>
  </si>
  <si>
    <t>Algirdo 27</t>
  </si>
  <si>
    <t>Rytų 4</t>
  </si>
  <si>
    <t>Rytų 2</t>
  </si>
  <si>
    <t>Algirdo 29</t>
  </si>
  <si>
    <t>Dariaus ir Girėno 28</t>
  </si>
  <si>
    <t>Stonų 3</t>
  </si>
  <si>
    <t>Vaižganto 5A</t>
  </si>
  <si>
    <t>Dubysos 3</t>
  </si>
  <si>
    <t>Dubysos 16</t>
  </si>
  <si>
    <t>Dubysos 1</t>
  </si>
  <si>
    <t>Dariaus ir Girėno 23</t>
  </si>
  <si>
    <t xml:space="preserve">Jaunimo 14 </t>
  </si>
  <si>
    <t>Vaižganto 1</t>
  </si>
  <si>
    <t>Muziejaus 6</t>
  </si>
  <si>
    <t>Vytauto Didžiojo 3</t>
  </si>
  <si>
    <t>iki1960</t>
  </si>
  <si>
    <t>Jaunimo 12</t>
  </si>
  <si>
    <t>V.Kudirkos 11</t>
  </si>
  <si>
    <t>Dominikonų 4</t>
  </si>
  <si>
    <t>Dariaus ir Girėno 26</t>
  </si>
  <si>
    <t>V.Kudirkos 9</t>
  </si>
  <si>
    <t>Elektrėnai (UAB "Elektrėnų komunalinis ūkis")</t>
  </si>
  <si>
    <r>
      <t xml:space="preserve">vidutinė lauko oro temperatūra: -2,8 </t>
    </r>
    <r>
      <rPr>
        <sz val="10"/>
        <color indexed="12"/>
        <rFont val="Calibri"/>
        <family val="2"/>
      </rPr>
      <t>°</t>
    </r>
    <r>
      <rPr>
        <i/>
        <sz val="10"/>
        <color indexed="12"/>
        <rFont val="Arial"/>
        <family val="2"/>
      </rPr>
      <t>C; dienolaipsniai : 644,8</t>
    </r>
  </si>
  <si>
    <t>Šarkinės 27</t>
  </si>
  <si>
    <t>Taikos 4</t>
  </si>
  <si>
    <t>Sodų 4</t>
  </si>
  <si>
    <t>Sodų 10</t>
  </si>
  <si>
    <t>Draugystės 7</t>
  </si>
  <si>
    <t>Rungos 3</t>
  </si>
  <si>
    <t>Šviesos 1</t>
  </si>
  <si>
    <t>Draugystės 18</t>
  </si>
  <si>
    <t>Šviesos 5</t>
  </si>
  <si>
    <t>Šviesos 12</t>
  </si>
  <si>
    <t>Sodų 17</t>
  </si>
  <si>
    <t>Trakų 8</t>
  </si>
  <si>
    <t>Trakų 18</t>
  </si>
  <si>
    <t>Pergalės 41</t>
  </si>
  <si>
    <t>Pergalės 17</t>
  </si>
  <si>
    <t>Saulės 11</t>
  </si>
  <si>
    <t>Taikos 9</t>
  </si>
  <si>
    <t>Trakų 33</t>
  </si>
  <si>
    <t>Trakų 11</t>
  </si>
  <si>
    <t>Trakų 27</t>
  </si>
  <si>
    <t>Saulės 26</t>
  </si>
  <si>
    <t>Trakų 19</t>
  </si>
</sst>
</file>

<file path=xl/styles.xml><?xml version="1.0" encoding="utf-8"?>
<styleSheet xmlns="http://schemas.openxmlformats.org/spreadsheetml/2006/main">
  <numFmts count="20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0.0000"/>
    <numFmt numFmtId="165" formatCode="0.000"/>
    <numFmt numFmtId="166" formatCode="0.0"/>
    <numFmt numFmtId="167" formatCode="0.00000"/>
    <numFmt numFmtId="168" formatCode="0.0%"/>
    <numFmt numFmtId="169" formatCode="0.000000"/>
    <numFmt numFmtId="170" formatCode="0.0000000"/>
    <numFmt numFmtId="171" formatCode="0.00000000"/>
    <numFmt numFmtId="172" formatCode="0.000000000"/>
    <numFmt numFmtId="173" formatCode="_-* #,##0.0000\ _L_t_-;\-* #,##0.0000\ _L_t_-;_-* &quot;-&quot;??\ _L_t_-;_-@_-"/>
    <numFmt numFmtId="174" formatCode="#,##0.0"/>
    <numFmt numFmtId="175" formatCode="#,##0.000"/>
  </numFmts>
  <fonts count="52">
    <font>
      <sz val="10"/>
      <name val="Arial"/>
      <family val="0"/>
    </font>
    <font>
      <sz val="8"/>
      <name val="Arial"/>
      <family val="2"/>
    </font>
    <font>
      <i/>
      <sz val="8"/>
      <name val="Arial"/>
      <family val="2"/>
    </font>
    <font>
      <sz val="7.5"/>
      <name val="Arial"/>
      <family val="2"/>
    </font>
    <font>
      <b/>
      <sz val="8"/>
      <name val="Arial"/>
      <family val="2"/>
    </font>
    <font>
      <i/>
      <sz val="10"/>
      <color indexed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  <font>
      <sz val="10"/>
      <color indexed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FF99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/>
      <right style="medium"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/>
      <bottom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/>
    </border>
    <border>
      <left style="medium"/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0" fillId="0" borderId="0">
      <alignment/>
      <protection/>
    </xf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11" fillId="0" borderId="0">
      <alignment vertical="top"/>
      <protection/>
    </xf>
    <xf numFmtId="0" fontId="11" fillId="0" borderId="0">
      <alignment vertical="top"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09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164" fontId="1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164" fontId="0" fillId="0" borderId="0" xfId="0" applyNumberFormat="1" applyAlignment="1">
      <alignment/>
    </xf>
    <xf numFmtId="0" fontId="2" fillId="0" borderId="13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/>
    </xf>
    <xf numFmtId="0" fontId="1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 vertical="center"/>
    </xf>
    <xf numFmtId="0" fontId="1" fillId="0" borderId="18" xfId="0" applyFont="1" applyFill="1" applyBorder="1" applyAlignment="1">
      <alignment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2" fontId="2" fillId="0" borderId="20" xfId="0" applyNumberFormat="1" applyFont="1" applyBorder="1" applyAlignment="1">
      <alignment horizontal="center" wrapText="1"/>
    </xf>
    <xf numFmtId="0" fontId="1" fillId="33" borderId="21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4" borderId="21" xfId="0" applyFont="1" applyFill="1" applyBorder="1" applyAlignment="1">
      <alignment/>
    </xf>
    <xf numFmtId="0" fontId="1" fillId="34" borderId="21" xfId="0" applyFont="1" applyFill="1" applyBorder="1" applyAlignment="1">
      <alignment horizontal="center"/>
    </xf>
    <xf numFmtId="0" fontId="1" fillId="34" borderId="10" xfId="0" applyFont="1" applyFill="1" applyBorder="1" applyAlignment="1">
      <alignment/>
    </xf>
    <xf numFmtId="0" fontId="1" fillId="34" borderId="10" xfId="0" applyFont="1" applyFill="1" applyBorder="1" applyAlignment="1">
      <alignment horizontal="center"/>
    </xf>
    <xf numFmtId="0" fontId="1" fillId="34" borderId="22" xfId="0" applyFont="1" applyFill="1" applyBorder="1" applyAlignment="1">
      <alignment/>
    </xf>
    <xf numFmtId="0" fontId="1" fillId="34" borderId="22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1" fillId="35" borderId="21" xfId="0" applyFont="1" applyFill="1" applyBorder="1" applyAlignment="1">
      <alignment horizontal="center"/>
    </xf>
    <xf numFmtId="0" fontId="1" fillId="35" borderId="24" xfId="0" applyFont="1" applyFill="1" applyBorder="1" applyAlignment="1">
      <alignment horizontal="center"/>
    </xf>
    <xf numFmtId="0" fontId="1" fillId="35" borderId="10" xfId="0" applyFont="1" applyFill="1" applyBorder="1" applyAlignment="1">
      <alignment horizontal="center"/>
    </xf>
    <xf numFmtId="2" fontId="1" fillId="35" borderId="10" xfId="0" applyNumberFormat="1" applyFont="1" applyFill="1" applyBorder="1" applyAlignment="1">
      <alignment/>
    </xf>
    <xf numFmtId="1" fontId="1" fillId="35" borderId="10" xfId="0" applyNumberFormat="1" applyFont="1" applyFill="1" applyBorder="1" applyAlignment="1">
      <alignment/>
    </xf>
    <xf numFmtId="2" fontId="1" fillId="35" borderId="25" xfId="0" applyNumberFormat="1" applyFont="1" applyFill="1" applyBorder="1" applyAlignment="1">
      <alignment/>
    </xf>
    <xf numFmtId="0" fontId="1" fillId="35" borderId="22" xfId="0" applyFont="1" applyFill="1" applyBorder="1" applyAlignment="1">
      <alignment horizontal="center"/>
    </xf>
    <xf numFmtId="2" fontId="1" fillId="35" borderId="22" xfId="0" applyNumberFormat="1" applyFont="1" applyFill="1" applyBorder="1" applyAlignment="1">
      <alignment/>
    </xf>
    <xf numFmtId="0" fontId="1" fillId="35" borderId="21" xfId="0" applyFont="1" applyFill="1" applyBorder="1" applyAlignment="1">
      <alignment/>
    </xf>
    <xf numFmtId="0" fontId="1" fillId="35" borderId="10" xfId="0" applyFont="1" applyFill="1" applyBorder="1" applyAlignment="1">
      <alignment/>
    </xf>
    <xf numFmtId="2" fontId="1" fillId="35" borderId="10" xfId="0" applyNumberFormat="1" applyFont="1" applyFill="1" applyBorder="1" applyAlignment="1">
      <alignment horizontal="right"/>
    </xf>
    <xf numFmtId="167" fontId="1" fillId="35" borderId="10" xfId="0" applyNumberFormat="1" applyFont="1" applyFill="1" applyBorder="1" applyAlignment="1">
      <alignment horizontal="right"/>
    </xf>
    <xf numFmtId="0" fontId="1" fillId="35" borderId="22" xfId="0" applyFont="1" applyFill="1" applyBorder="1" applyAlignment="1">
      <alignment/>
    </xf>
    <xf numFmtId="2" fontId="1" fillId="35" borderId="22" xfId="0" applyNumberFormat="1" applyFont="1" applyFill="1" applyBorder="1" applyAlignment="1">
      <alignment horizontal="right"/>
    </xf>
    <xf numFmtId="167" fontId="1" fillId="35" borderId="22" xfId="0" applyNumberFormat="1" applyFont="1" applyFill="1" applyBorder="1" applyAlignment="1">
      <alignment horizontal="right"/>
    </xf>
    <xf numFmtId="2" fontId="1" fillId="35" borderId="26" xfId="0" applyNumberFormat="1" applyFont="1" applyFill="1" applyBorder="1" applyAlignment="1">
      <alignment/>
    </xf>
    <xf numFmtId="2" fontId="1" fillId="35" borderId="10" xfId="0" applyNumberFormat="1" applyFont="1" applyFill="1" applyBorder="1" applyAlignment="1">
      <alignment/>
    </xf>
    <xf numFmtId="2" fontId="1" fillId="35" borderId="22" xfId="0" applyNumberFormat="1" applyFont="1" applyFill="1" applyBorder="1" applyAlignment="1">
      <alignment/>
    </xf>
    <xf numFmtId="1" fontId="1" fillId="35" borderId="22" xfId="0" applyNumberFormat="1" applyFont="1" applyFill="1" applyBorder="1" applyAlignment="1">
      <alignment/>
    </xf>
    <xf numFmtId="0" fontId="2" fillId="0" borderId="22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1" fillId="33" borderId="28" xfId="0" applyFont="1" applyFill="1" applyBorder="1" applyAlignment="1">
      <alignment horizontal="center"/>
    </xf>
    <xf numFmtId="0" fontId="1" fillId="33" borderId="28" xfId="0" applyFont="1" applyFill="1" applyBorder="1" applyAlignment="1">
      <alignment/>
    </xf>
    <xf numFmtId="0" fontId="1" fillId="33" borderId="22" xfId="0" applyFont="1" applyFill="1" applyBorder="1" applyAlignment="1">
      <alignment horizontal="center"/>
    </xf>
    <xf numFmtId="0" fontId="1" fillId="33" borderId="22" xfId="0" applyFont="1" applyFill="1" applyBorder="1" applyAlignment="1">
      <alignment/>
    </xf>
    <xf numFmtId="0" fontId="2" fillId="0" borderId="29" xfId="0" applyFont="1" applyFill="1" applyBorder="1" applyAlignment="1">
      <alignment horizontal="center" vertical="center" wrapText="1"/>
    </xf>
    <xf numFmtId="164" fontId="1" fillId="35" borderId="10" xfId="0" applyNumberFormat="1" applyFont="1" applyFill="1" applyBorder="1" applyAlignment="1">
      <alignment/>
    </xf>
    <xf numFmtId="2" fontId="1" fillId="35" borderId="30" xfId="0" applyNumberFormat="1" applyFont="1" applyFill="1" applyBorder="1" applyAlignment="1">
      <alignment/>
    </xf>
    <xf numFmtId="164" fontId="1" fillId="35" borderId="10" xfId="0" applyNumberFormat="1" applyFont="1" applyFill="1" applyBorder="1" applyAlignment="1">
      <alignment/>
    </xf>
    <xf numFmtId="2" fontId="1" fillId="35" borderId="10" xfId="0" applyNumberFormat="1" applyFont="1" applyFill="1" applyBorder="1" applyAlignment="1">
      <alignment horizontal="left" indent="3"/>
    </xf>
    <xf numFmtId="2" fontId="1" fillId="35" borderId="30" xfId="0" applyNumberFormat="1" applyFont="1" applyFill="1" applyBorder="1" applyAlignment="1">
      <alignment horizontal="left" indent="3"/>
    </xf>
    <xf numFmtId="2" fontId="1" fillId="35" borderId="25" xfId="0" applyNumberFormat="1" applyFont="1" applyFill="1" applyBorder="1" applyAlignment="1">
      <alignment horizontal="left" indent="3"/>
    </xf>
    <xf numFmtId="2" fontId="1" fillId="35" borderId="22" xfId="0" applyNumberFormat="1" applyFont="1" applyFill="1" applyBorder="1" applyAlignment="1">
      <alignment horizontal="left" indent="3"/>
    </xf>
    <xf numFmtId="0" fontId="3" fillId="35" borderId="22" xfId="0" applyFont="1" applyFill="1" applyBorder="1" applyAlignment="1">
      <alignment/>
    </xf>
    <xf numFmtId="0" fontId="1" fillId="34" borderId="28" xfId="0" applyFont="1" applyFill="1" applyBorder="1" applyAlignment="1">
      <alignment/>
    </xf>
    <xf numFmtId="0" fontId="1" fillId="34" borderId="11" xfId="0" applyFont="1" applyFill="1" applyBorder="1" applyAlignment="1">
      <alignment horizontal="center"/>
    </xf>
    <xf numFmtId="2" fontId="1" fillId="34" borderId="22" xfId="0" applyNumberFormat="1" applyFont="1" applyFill="1" applyBorder="1" applyAlignment="1">
      <alignment/>
    </xf>
    <xf numFmtId="1" fontId="1" fillId="34" borderId="22" xfId="0" applyNumberFormat="1" applyFont="1" applyFill="1" applyBorder="1" applyAlignment="1">
      <alignment/>
    </xf>
    <xf numFmtId="167" fontId="1" fillId="34" borderId="22" xfId="0" applyNumberFormat="1" applyFont="1" applyFill="1" applyBorder="1" applyAlignment="1">
      <alignment/>
    </xf>
    <xf numFmtId="0" fontId="1" fillId="35" borderId="28" xfId="0" applyFont="1" applyFill="1" applyBorder="1" applyAlignment="1">
      <alignment horizontal="center"/>
    </xf>
    <xf numFmtId="167" fontId="1" fillId="35" borderId="22" xfId="0" applyNumberFormat="1" applyFont="1" applyFill="1" applyBorder="1" applyAlignment="1">
      <alignment/>
    </xf>
    <xf numFmtId="0" fontId="3" fillId="35" borderId="10" xfId="0" applyFont="1" applyFill="1" applyBorder="1" applyAlignment="1">
      <alignment/>
    </xf>
    <xf numFmtId="0" fontId="1" fillId="34" borderId="28" xfId="0" applyFont="1" applyFill="1" applyBorder="1" applyAlignment="1">
      <alignment horizontal="center"/>
    </xf>
    <xf numFmtId="0" fontId="10" fillId="0" borderId="22" xfId="0" applyFont="1" applyFill="1" applyBorder="1" applyAlignment="1">
      <alignment horizontal="center" vertical="center" wrapText="1"/>
    </xf>
    <xf numFmtId="1" fontId="1" fillId="35" borderId="10" xfId="0" applyNumberFormat="1" applyFont="1" applyFill="1" applyBorder="1" applyAlignment="1">
      <alignment horizontal="right"/>
    </xf>
    <xf numFmtId="2" fontId="1" fillId="35" borderId="25" xfId="0" applyNumberFormat="1" applyFont="1" applyFill="1" applyBorder="1" applyAlignment="1">
      <alignment horizontal="right"/>
    </xf>
    <xf numFmtId="2" fontId="1" fillId="35" borderId="26" xfId="0" applyNumberFormat="1" applyFont="1" applyFill="1" applyBorder="1" applyAlignment="1">
      <alignment horizontal="right"/>
    </xf>
    <xf numFmtId="1" fontId="1" fillId="35" borderId="22" xfId="0" applyNumberFormat="1" applyFont="1" applyFill="1" applyBorder="1" applyAlignment="1">
      <alignment horizontal="right"/>
    </xf>
    <xf numFmtId="2" fontId="0" fillId="0" borderId="0" xfId="0" applyNumberFormat="1" applyAlignment="1">
      <alignment/>
    </xf>
    <xf numFmtId="0" fontId="1" fillId="35" borderId="11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 vertical="top"/>
    </xf>
    <xf numFmtId="0" fontId="1" fillId="0" borderId="0" xfId="0" applyFont="1" applyAlignment="1">
      <alignment vertical="top"/>
    </xf>
    <xf numFmtId="0" fontId="1" fillId="33" borderId="31" xfId="0" applyFont="1" applyFill="1" applyBorder="1" applyAlignment="1">
      <alignment/>
    </xf>
    <xf numFmtId="0" fontId="1" fillId="34" borderId="11" xfId="0" applyFont="1" applyFill="1" applyBorder="1" applyAlignment="1">
      <alignment/>
    </xf>
    <xf numFmtId="0" fontId="1" fillId="34" borderId="31" xfId="0" applyFont="1" applyFill="1" applyBorder="1" applyAlignment="1">
      <alignment/>
    </xf>
    <xf numFmtId="0" fontId="1" fillId="34" borderId="31" xfId="0" applyFont="1" applyFill="1" applyBorder="1" applyAlignment="1">
      <alignment horizontal="left"/>
    </xf>
    <xf numFmtId="0" fontId="1" fillId="34" borderId="10" xfId="0" applyFont="1" applyFill="1" applyBorder="1" applyAlignment="1">
      <alignment horizontal="center" vertical="top"/>
    </xf>
    <xf numFmtId="2" fontId="0" fillId="0" borderId="0" xfId="0" applyNumberFormat="1" applyAlignment="1">
      <alignment vertical="top"/>
    </xf>
    <xf numFmtId="0" fontId="1" fillId="33" borderId="21" xfId="0" applyFont="1" applyFill="1" applyBorder="1" applyAlignment="1">
      <alignment horizontal="center" vertical="top"/>
    </xf>
    <xf numFmtId="0" fontId="1" fillId="33" borderId="22" xfId="0" applyFont="1" applyFill="1" applyBorder="1" applyAlignment="1">
      <alignment horizontal="center" vertical="top"/>
    </xf>
    <xf numFmtId="2" fontId="1" fillId="0" borderId="0" xfId="0" applyNumberFormat="1" applyFont="1" applyAlignment="1">
      <alignment vertical="top"/>
    </xf>
    <xf numFmtId="0" fontId="1" fillId="33" borderId="28" xfId="0" applyFont="1" applyFill="1" applyBorder="1" applyAlignment="1">
      <alignment horizontal="center" vertical="top"/>
    </xf>
    <xf numFmtId="0" fontId="1" fillId="33" borderId="11" xfId="0" applyFont="1" applyFill="1" applyBorder="1" applyAlignment="1">
      <alignment horizontal="center" vertical="top"/>
    </xf>
    <xf numFmtId="0" fontId="1" fillId="34" borderId="21" xfId="0" applyFont="1" applyFill="1" applyBorder="1" applyAlignment="1">
      <alignment horizontal="center" vertical="top"/>
    </xf>
    <xf numFmtId="0" fontId="1" fillId="35" borderId="21" xfId="0" applyFont="1" applyFill="1" applyBorder="1" applyAlignment="1">
      <alignment horizontal="center" vertical="top"/>
    </xf>
    <xf numFmtId="0" fontId="1" fillId="35" borderId="10" xfId="0" applyFont="1" applyFill="1" applyBorder="1" applyAlignment="1">
      <alignment horizontal="center" vertical="top"/>
    </xf>
    <xf numFmtId="0" fontId="1" fillId="35" borderId="22" xfId="0" applyFont="1" applyFill="1" applyBorder="1" applyAlignment="1">
      <alignment horizontal="center" vertical="top"/>
    </xf>
    <xf numFmtId="0" fontId="1" fillId="35" borderId="31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22" xfId="0" applyFont="1" applyFill="1" applyBorder="1" applyAlignment="1">
      <alignment horizontal="center"/>
    </xf>
    <xf numFmtId="0" fontId="1" fillId="34" borderId="21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1" fillId="34" borderId="22" xfId="0" applyFont="1" applyFill="1" applyBorder="1" applyAlignment="1">
      <alignment horizontal="center"/>
    </xf>
    <xf numFmtId="0" fontId="1" fillId="35" borderId="21" xfId="0" applyFont="1" applyFill="1" applyBorder="1" applyAlignment="1">
      <alignment horizontal="center"/>
    </xf>
    <xf numFmtId="0" fontId="1" fillId="35" borderId="10" xfId="0" applyFont="1" applyFill="1" applyBorder="1" applyAlignment="1">
      <alignment horizontal="center"/>
    </xf>
    <xf numFmtId="0" fontId="1" fillId="33" borderId="21" xfId="0" applyFont="1" applyFill="1" applyBorder="1" applyAlignment="1">
      <alignment horizontal="center"/>
    </xf>
    <xf numFmtId="1" fontId="9" fillId="35" borderId="22" xfId="0" applyNumberFormat="1" applyFont="1" applyFill="1" applyBorder="1" applyAlignment="1">
      <alignment horizontal="right"/>
    </xf>
    <xf numFmtId="0" fontId="3" fillId="34" borderId="10" xfId="0" applyFont="1" applyFill="1" applyBorder="1" applyAlignment="1">
      <alignment/>
    </xf>
    <xf numFmtId="0" fontId="1" fillId="35" borderId="22" xfId="0" applyFont="1" applyFill="1" applyBorder="1" applyAlignment="1">
      <alignment horizontal="left"/>
    </xf>
    <xf numFmtId="0" fontId="1" fillId="34" borderId="32" xfId="0" applyFont="1" applyFill="1" applyBorder="1" applyAlignment="1">
      <alignment horizontal="center" vertical="top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1" fillId="34" borderId="33" xfId="0" applyFont="1" applyFill="1" applyBorder="1" applyAlignment="1">
      <alignment horizontal="center"/>
    </xf>
    <xf numFmtId="0" fontId="1" fillId="34" borderId="24" xfId="0" applyFont="1" applyFill="1" applyBorder="1" applyAlignment="1">
      <alignment horizontal="center"/>
    </xf>
    <xf numFmtId="0" fontId="1" fillId="35" borderId="33" xfId="0" applyFont="1" applyFill="1" applyBorder="1" applyAlignment="1">
      <alignment horizontal="center"/>
    </xf>
    <xf numFmtId="2" fontId="1" fillId="33" borderId="10" xfId="0" applyNumberFormat="1" applyFont="1" applyFill="1" applyBorder="1" applyAlignment="1">
      <alignment horizontal="center"/>
    </xf>
    <xf numFmtId="2" fontId="1" fillId="33" borderId="22" xfId="0" applyNumberFormat="1" applyFont="1" applyFill="1" applyBorder="1" applyAlignment="1">
      <alignment horizontal="center"/>
    </xf>
    <xf numFmtId="2" fontId="1" fillId="33" borderId="26" xfId="0" applyNumberFormat="1" applyFont="1" applyFill="1" applyBorder="1" applyAlignment="1">
      <alignment horizontal="center"/>
    </xf>
    <xf numFmtId="0" fontId="1" fillId="35" borderId="10" xfId="0" applyFont="1" applyFill="1" applyBorder="1" applyAlignment="1">
      <alignment horizontal="center" vertical="center"/>
    </xf>
    <xf numFmtId="165" fontId="1" fillId="33" borderId="10" xfId="0" applyNumberFormat="1" applyFont="1" applyFill="1" applyBorder="1" applyAlignment="1">
      <alignment horizontal="center"/>
    </xf>
    <xf numFmtId="0" fontId="1" fillId="33" borderId="21" xfId="0" applyFont="1" applyFill="1" applyBorder="1" applyAlignment="1" applyProtection="1">
      <alignment horizontal="center"/>
      <protection locked="0"/>
    </xf>
    <xf numFmtId="0" fontId="1" fillId="33" borderId="10" xfId="0" applyFont="1" applyFill="1" applyBorder="1" applyAlignment="1" applyProtection="1">
      <alignment horizontal="center"/>
      <protection locked="0"/>
    </xf>
    <xf numFmtId="0" fontId="1" fillId="33" borderId="22" xfId="0" applyFont="1" applyFill="1" applyBorder="1" applyAlignment="1" applyProtection="1">
      <alignment horizontal="center"/>
      <protection locked="0"/>
    </xf>
    <xf numFmtId="0" fontId="1" fillId="34" borderId="28" xfId="0" applyFont="1" applyFill="1" applyBorder="1" applyAlignment="1" applyProtection="1">
      <alignment horizontal="center"/>
      <protection locked="0"/>
    </xf>
    <xf numFmtId="0" fontId="1" fillId="34" borderId="10" xfId="0" applyFont="1" applyFill="1" applyBorder="1" applyAlignment="1" applyProtection="1">
      <alignment horizontal="center"/>
      <protection locked="0"/>
    </xf>
    <xf numFmtId="0" fontId="1" fillId="34" borderId="22" xfId="0" applyFont="1" applyFill="1" applyBorder="1" applyAlignment="1" applyProtection="1">
      <alignment horizontal="center"/>
      <protection locked="0"/>
    </xf>
    <xf numFmtId="0" fontId="1" fillId="35" borderId="10" xfId="0" applyFont="1" applyFill="1" applyBorder="1" applyAlignment="1" applyProtection="1">
      <alignment horizontal="center"/>
      <protection locked="0"/>
    </xf>
    <xf numFmtId="0" fontId="1" fillId="35" borderId="22" xfId="0" applyFont="1" applyFill="1" applyBorder="1" applyAlignment="1" applyProtection="1">
      <alignment horizontal="center"/>
      <protection locked="0"/>
    </xf>
    <xf numFmtId="0" fontId="1" fillId="0" borderId="28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167" fontId="1" fillId="33" borderId="10" xfId="0" applyNumberFormat="1" applyFont="1" applyFill="1" applyBorder="1" applyAlignment="1" applyProtection="1">
      <alignment horizontal="center"/>
      <protection/>
    </xf>
    <xf numFmtId="2" fontId="1" fillId="33" borderId="10" xfId="0" applyNumberFormat="1" applyFont="1" applyFill="1" applyBorder="1" applyAlignment="1" applyProtection="1">
      <alignment horizontal="center"/>
      <protection locked="0"/>
    </xf>
    <xf numFmtId="2" fontId="1" fillId="33" borderId="10" xfId="0" applyNumberFormat="1" applyFont="1" applyFill="1" applyBorder="1" applyAlignment="1" applyProtection="1">
      <alignment horizontal="center"/>
      <protection/>
    </xf>
    <xf numFmtId="2" fontId="1" fillId="33" borderId="25" xfId="0" applyNumberFormat="1" applyFont="1" applyFill="1" applyBorder="1" applyAlignment="1" applyProtection="1">
      <alignment horizontal="center"/>
      <protection/>
    </xf>
    <xf numFmtId="2" fontId="1" fillId="34" borderId="21" xfId="0" applyNumberFormat="1" applyFont="1" applyFill="1" applyBorder="1" applyAlignment="1" applyProtection="1">
      <alignment horizontal="center"/>
      <protection locked="0"/>
    </xf>
    <xf numFmtId="167" fontId="1" fillId="34" borderId="10" xfId="0" applyNumberFormat="1" applyFont="1" applyFill="1" applyBorder="1" applyAlignment="1" applyProtection="1">
      <alignment horizontal="center"/>
      <protection/>
    </xf>
    <xf numFmtId="2" fontId="1" fillId="34" borderId="10" xfId="0" applyNumberFormat="1" applyFont="1" applyFill="1" applyBorder="1" applyAlignment="1" applyProtection="1">
      <alignment horizontal="center"/>
      <protection locked="0"/>
    </xf>
    <xf numFmtId="2" fontId="1" fillId="34" borderId="10" xfId="0" applyNumberFormat="1" applyFont="1" applyFill="1" applyBorder="1" applyAlignment="1" applyProtection="1">
      <alignment horizontal="center"/>
      <protection/>
    </xf>
    <xf numFmtId="2" fontId="1" fillId="34" borderId="25" xfId="0" applyNumberFormat="1" applyFont="1" applyFill="1" applyBorder="1" applyAlignment="1" applyProtection="1">
      <alignment horizontal="center"/>
      <protection/>
    </xf>
    <xf numFmtId="167" fontId="1" fillId="35" borderId="10" xfId="0" applyNumberFormat="1" applyFont="1" applyFill="1" applyBorder="1" applyAlignment="1" applyProtection="1">
      <alignment horizontal="center"/>
      <protection/>
    </xf>
    <xf numFmtId="2" fontId="1" fillId="35" borderId="10" xfId="0" applyNumberFormat="1" applyFont="1" applyFill="1" applyBorder="1" applyAlignment="1" applyProtection="1">
      <alignment horizontal="center"/>
      <protection locked="0"/>
    </xf>
    <xf numFmtId="2" fontId="1" fillId="35" borderId="10" xfId="0" applyNumberFormat="1" applyFont="1" applyFill="1" applyBorder="1" applyAlignment="1" applyProtection="1">
      <alignment horizontal="center"/>
      <protection/>
    </xf>
    <xf numFmtId="2" fontId="1" fillId="35" borderId="25" xfId="0" applyNumberFormat="1" applyFont="1" applyFill="1" applyBorder="1" applyAlignment="1" applyProtection="1">
      <alignment horizontal="center"/>
      <protection/>
    </xf>
    <xf numFmtId="167" fontId="1" fillId="35" borderId="22" xfId="0" applyNumberFormat="1" applyFont="1" applyFill="1" applyBorder="1" applyAlignment="1" applyProtection="1">
      <alignment horizontal="center"/>
      <protection/>
    </xf>
    <xf numFmtId="2" fontId="1" fillId="35" borderId="22" xfId="0" applyNumberFormat="1" applyFont="1" applyFill="1" applyBorder="1" applyAlignment="1" applyProtection="1">
      <alignment horizontal="center"/>
      <protection locked="0"/>
    </xf>
    <xf numFmtId="2" fontId="1" fillId="35" borderId="22" xfId="0" applyNumberFormat="1" applyFont="1" applyFill="1" applyBorder="1" applyAlignment="1" applyProtection="1">
      <alignment horizontal="center"/>
      <protection/>
    </xf>
    <xf numFmtId="2" fontId="1" fillId="35" borderId="26" xfId="0" applyNumberFormat="1" applyFont="1" applyFill="1" applyBorder="1" applyAlignment="1" applyProtection="1">
      <alignment horizontal="center"/>
      <protection/>
    </xf>
    <xf numFmtId="0" fontId="1" fillId="33" borderId="10" xfId="0" applyFont="1" applyFill="1" applyBorder="1" applyAlignment="1" applyProtection="1">
      <alignment/>
      <protection locked="0"/>
    </xf>
    <xf numFmtId="0" fontId="1" fillId="33" borderId="28" xfId="0" applyFont="1" applyFill="1" applyBorder="1" applyAlignment="1" applyProtection="1">
      <alignment horizontal="center"/>
      <protection locked="0"/>
    </xf>
    <xf numFmtId="2" fontId="1" fillId="33" borderId="28" xfId="0" applyNumberFormat="1" applyFont="1" applyFill="1" applyBorder="1" applyAlignment="1" applyProtection="1">
      <alignment horizontal="center"/>
      <protection locked="0"/>
    </xf>
    <xf numFmtId="0" fontId="1" fillId="33" borderId="22" xfId="0" applyFont="1" applyFill="1" applyBorder="1" applyAlignment="1" applyProtection="1">
      <alignment/>
      <protection locked="0"/>
    </xf>
    <xf numFmtId="2" fontId="1" fillId="33" borderId="22" xfId="0" applyNumberFormat="1" applyFont="1" applyFill="1" applyBorder="1" applyAlignment="1" applyProtection="1">
      <alignment horizontal="center"/>
      <protection locked="0"/>
    </xf>
    <xf numFmtId="0" fontId="1" fillId="36" borderId="10" xfId="0" applyFont="1" applyFill="1" applyBorder="1" applyAlignment="1" applyProtection="1">
      <alignment horizontal="center"/>
      <protection locked="0"/>
    </xf>
    <xf numFmtId="2" fontId="1" fillId="33" borderId="35" xfId="0" applyNumberFormat="1" applyFont="1" applyFill="1" applyBorder="1" applyAlignment="1" applyProtection="1">
      <alignment horizontal="center"/>
      <protection/>
    </xf>
    <xf numFmtId="2" fontId="1" fillId="33" borderId="26" xfId="0" applyNumberFormat="1" applyFont="1" applyFill="1" applyBorder="1" applyAlignment="1" applyProtection="1">
      <alignment horizontal="center"/>
      <protection/>
    </xf>
    <xf numFmtId="0" fontId="1" fillId="35" borderId="21" xfId="0" applyFont="1" applyFill="1" applyBorder="1" applyAlignment="1" applyProtection="1">
      <alignment/>
      <protection locked="0"/>
    </xf>
    <xf numFmtId="0" fontId="1" fillId="35" borderId="21" xfId="0" applyFont="1" applyFill="1" applyBorder="1" applyAlignment="1" applyProtection="1">
      <alignment horizontal="center"/>
      <protection locked="0"/>
    </xf>
    <xf numFmtId="2" fontId="1" fillId="35" borderId="28" xfId="0" applyNumberFormat="1" applyFont="1" applyFill="1" applyBorder="1" applyAlignment="1" applyProtection="1">
      <alignment horizontal="center"/>
      <protection locked="0"/>
    </xf>
    <xf numFmtId="0" fontId="1" fillId="35" borderId="10" xfId="0" applyFont="1" applyFill="1" applyBorder="1" applyAlignment="1" applyProtection="1">
      <alignment/>
      <protection locked="0"/>
    </xf>
    <xf numFmtId="167" fontId="1" fillId="35" borderId="28" xfId="0" applyNumberFormat="1" applyFont="1" applyFill="1" applyBorder="1" applyAlignment="1" applyProtection="1">
      <alignment horizontal="center"/>
      <protection/>
    </xf>
    <xf numFmtId="2" fontId="1" fillId="35" borderId="28" xfId="0" applyNumberFormat="1" applyFont="1" applyFill="1" applyBorder="1" applyAlignment="1" applyProtection="1">
      <alignment horizontal="center"/>
      <protection/>
    </xf>
    <xf numFmtId="2" fontId="1" fillId="35" borderId="36" xfId="0" applyNumberFormat="1" applyFont="1" applyFill="1" applyBorder="1" applyAlignment="1" applyProtection="1">
      <alignment horizontal="center"/>
      <protection/>
    </xf>
    <xf numFmtId="167" fontId="1" fillId="33" borderId="28" xfId="0" applyNumberFormat="1" applyFont="1" applyFill="1" applyBorder="1" applyAlignment="1" applyProtection="1">
      <alignment horizontal="center"/>
      <protection/>
    </xf>
    <xf numFmtId="167" fontId="1" fillId="33" borderId="22" xfId="0" applyNumberFormat="1" applyFont="1" applyFill="1" applyBorder="1" applyAlignment="1" applyProtection="1">
      <alignment horizontal="center"/>
      <protection/>
    </xf>
    <xf numFmtId="2" fontId="1" fillId="33" borderId="27" xfId="0" applyNumberFormat="1" applyFont="1" applyFill="1" applyBorder="1" applyAlignment="1" applyProtection="1">
      <alignment horizontal="center"/>
      <protection/>
    </xf>
    <xf numFmtId="2" fontId="1" fillId="34" borderId="10" xfId="0" applyNumberFormat="1" applyFont="1" applyFill="1" applyBorder="1" applyAlignment="1">
      <alignment horizontal="center"/>
    </xf>
    <xf numFmtId="2" fontId="1" fillId="34" borderId="25" xfId="0" applyNumberFormat="1" applyFont="1" applyFill="1" applyBorder="1" applyAlignment="1">
      <alignment horizontal="center"/>
    </xf>
    <xf numFmtId="2" fontId="1" fillId="35" borderId="10" xfId="0" applyNumberFormat="1" applyFont="1" applyFill="1" applyBorder="1" applyAlignment="1">
      <alignment horizontal="center"/>
    </xf>
    <xf numFmtId="2" fontId="1" fillId="34" borderId="36" xfId="0" applyNumberFormat="1" applyFont="1" applyFill="1" applyBorder="1" applyAlignment="1">
      <alignment horizontal="center"/>
    </xf>
    <xf numFmtId="0" fontId="1" fillId="33" borderId="22" xfId="0" applyFont="1" applyFill="1" applyBorder="1" applyAlignment="1">
      <alignment horizontal="center" vertical="center"/>
    </xf>
    <xf numFmtId="166" fontId="1" fillId="33" borderId="10" xfId="0" applyNumberFormat="1" applyFont="1" applyFill="1" applyBorder="1" applyAlignment="1">
      <alignment horizontal="center"/>
    </xf>
    <xf numFmtId="0" fontId="1" fillId="35" borderId="28" xfId="0" applyFont="1" applyFill="1" applyBorder="1" applyAlignment="1">
      <alignment horizontal="center" vertical="top"/>
    </xf>
    <xf numFmtId="0" fontId="1" fillId="36" borderId="21" xfId="0" applyFont="1" applyFill="1" applyBorder="1" applyAlignment="1">
      <alignment/>
    </xf>
    <xf numFmtId="0" fontId="1" fillId="36" borderId="10" xfId="0" applyFont="1" applyFill="1" applyBorder="1" applyAlignment="1">
      <alignment/>
    </xf>
    <xf numFmtId="0" fontId="1" fillId="36" borderId="22" xfId="0" applyFont="1" applyFill="1" applyBorder="1" applyAlignment="1">
      <alignment/>
    </xf>
    <xf numFmtId="2" fontId="1" fillId="34" borderId="11" xfId="0" applyNumberFormat="1" applyFont="1" applyFill="1" applyBorder="1" applyAlignment="1">
      <alignment horizontal="center"/>
    </xf>
    <xf numFmtId="1" fontId="1" fillId="33" borderId="10" xfId="0" applyNumberFormat="1" applyFont="1" applyFill="1" applyBorder="1" applyAlignment="1">
      <alignment horizontal="center"/>
    </xf>
    <xf numFmtId="2" fontId="1" fillId="35" borderId="10" xfId="0" applyNumberFormat="1" applyFont="1" applyFill="1" applyBorder="1" applyAlignment="1">
      <alignment vertical="center"/>
    </xf>
    <xf numFmtId="2" fontId="1" fillId="33" borderId="36" xfId="0" applyNumberFormat="1" applyFont="1" applyFill="1" applyBorder="1" applyAlignment="1">
      <alignment horizontal="center"/>
    </xf>
    <xf numFmtId="2" fontId="1" fillId="35" borderId="28" xfId="0" applyNumberFormat="1" applyFont="1" applyFill="1" applyBorder="1" applyAlignment="1">
      <alignment horizontal="center"/>
    </xf>
    <xf numFmtId="2" fontId="1" fillId="35" borderId="36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2" fontId="0" fillId="0" borderId="0" xfId="0" applyNumberFormat="1" applyBorder="1" applyAlignment="1">
      <alignment/>
    </xf>
    <xf numFmtId="164" fontId="0" fillId="0" borderId="0" xfId="0" applyNumberFormat="1" applyBorder="1" applyAlignment="1">
      <alignment/>
    </xf>
    <xf numFmtId="164" fontId="1" fillId="0" borderId="0" xfId="0" applyNumberFormat="1" applyFont="1" applyBorder="1" applyAlignment="1">
      <alignment/>
    </xf>
    <xf numFmtId="2" fontId="1" fillId="33" borderId="28" xfId="0" applyNumberFormat="1" applyFont="1" applyFill="1" applyBorder="1" applyAlignment="1">
      <alignment horizontal="center"/>
    </xf>
    <xf numFmtId="165" fontId="1" fillId="33" borderId="28" xfId="0" applyNumberFormat="1" applyFont="1" applyFill="1" applyBorder="1" applyAlignment="1">
      <alignment horizontal="center"/>
    </xf>
    <xf numFmtId="165" fontId="1" fillId="34" borderId="10" xfId="0" applyNumberFormat="1" applyFont="1" applyFill="1" applyBorder="1" applyAlignment="1">
      <alignment horizontal="center"/>
    </xf>
    <xf numFmtId="165" fontId="1" fillId="35" borderId="10" xfId="0" applyNumberFormat="1" applyFont="1" applyFill="1" applyBorder="1" applyAlignment="1">
      <alignment horizontal="center"/>
    </xf>
    <xf numFmtId="0" fontId="1" fillId="33" borderId="28" xfId="0" applyFont="1" applyFill="1" applyBorder="1" applyAlignment="1" applyProtection="1">
      <alignment/>
      <protection locked="0"/>
    </xf>
    <xf numFmtId="2" fontId="1" fillId="33" borderId="37" xfId="0" applyNumberFormat="1" applyFont="1" applyFill="1" applyBorder="1" applyAlignment="1" applyProtection="1">
      <alignment horizontal="center"/>
      <protection/>
    </xf>
    <xf numFmtId="166" fontId="1" fillId="33" borderId="10" xfId="0" applyNumberFormat="1" applyFont="1" applyFill="1" applyBorder="1" applyAlignment="1" applyProtection="1">
      <alignment horizontal="center"/>
      <protection locked="0"/>
    </xf>
    <xf numFmtId="0" fontId="1" fillId="34" borderId="10" xfId="0" applyFont="1" applyFill="1" applyBorder="1" applyAlignment="1" applyProtection="1">
      <alignment/>
      <protection locked="0"/>
    </xf>
    <xf numFmtId="166" fontId="1" fillId="34" borderId="10" xfId="0" applyNumberFormat="1" applyFont="1" applyFill="1" applyBorder="1" applyAlignment="1" applyProtection="1">
      <alignment horizontal="center"/>
      <protection locked="0"/>
    </xf>
    <xf numFmtId="166" fontId="1" fillId="35" borderId="10" xfId="0" applyNumberFormat="1" applyFont="1" applyFill="1" applyBorder="1" applyAlignment="1" applyProtection="1">
      <alignment horizontal="center"/>
      <protection locked="0"/>
    </xf>
    <xf numFmtId="2" fontId="1" fillId="34" borderId="28" xfId="0" applyNumberFormat="1" applyFont="1" applyFill="1" applyBorder="1" applyAlignment="1" applyProtection="1">
      <alignment horizontal="center"/>
      <protection/>
    </xf>
    <xf numFmtId="167" fontId="1" fillId="34" borderId="28" xfId="0" applyNumberFormat="1" applyFont="1" applyFill="1" applyBorder="1" applyAlignment="1" applyProtection="1">
      <alignment horizontal="center"/>
      <protection/>
    </xf>
    <xf numFmtId="2" fontId="1" fillId="34" borderId="36" xfId="0" applyNumberFormat="1" applyFont="1" applyFill="1" applyBorder="1" applyAlignment="1" applyProtection="1">
      <alignment horizontal="center"/>
      <protection/>
    </xf>
    <xf numFmtId="167" fontId="1" fillId="34" borderId="22" xfId="0" applyNumberFormat="1" applyFont="1" applyFill="1" applyBorder="1" applyAlignment="1" applyProtection="1">
      <alignment horizontal="center"/>
      <protection/>
    </xf>
    <xf numFmtId="2" fontId="1" fillId="34" borderId="22" xfId="0" applyNumberFormat="1" applyFont="1" applyFill="1" applyBorder="1" applyAlignment="1" applyProtection="1">
      <alignment horizontal="center"/>
      <protection/>
    </xf>
    <xf numFmtId="2" fontId="1" fillId="34" borderId="26" xfId="0" applyNumberFormat="1" applyFont="1" applyFill="1" applyBorder="1" applyAlignment="1" applyProtection="1">
      <alignment horizontal="center"/>
      <protection/>
    </xf>
    <xf numFmtId="0" fontId="1" fillId="35" borderId="22" xfId="0" applyFont="1" applyFill="1" applyBorder="1" applyAlignment="1" applyProtection="1">
      <alignment/>
      <protection locked="0"/>
    </xf>
    <xf numFmtId="0" fontId="1" fillId="34" borderId="21" xfId="0" applyFont="1" applyFill="1" applyBorder="1" applyAlignment="1" applyProtection="1">
      <alignment/>
      <protection locked="0"/>
    </xf>
    <xf numFmtId="0" fontId="1" fillId="34" borderId="22" xfId="0" applyFont="1" applyFill="1" applyBorder="1" applyAlignment="1" applyProtection="1">
      <alignment/>
      <protection locked="0"/>
    </xf>
    <xf numFmtId="0" fontId="1" fillId="34" borderId="21" xfId="0" applyFont="1" applyFill="1" applyBorder="1" applyAlignment="1" applyProtection="1">
      <alignment horizontal="center"/>
      <protection locked="0"/>
    </xf>
    <xf numFmtId="165" fontId="1" fillId="35" borderId="10" xfId="0" applyNumberFormat="1" applyFont="1" applyFill="1" applyBorder="1" applyAlignment="1" applyProtection="1">
      <alignment horizontal="center"/>
      <protection locked="0"/>
    </xf>
    <xf numFmtId="0" fontId="1" fillId="34" borderId="28" xfId="0" applyFont="1" applyFill="1" applyBorder="1" applyAlignment="1" applyProtection="1">
      <alignment/>
      <protection locked="0"/>
    </xf>
    <xf numFmtId="2" fontId="1" fillId="34" borderId="28" xfId="0" applyNumberFormat="1" applyFont="1" applyFill="1" applyBorder="1" applyAlignment="1" applyProtection="1">
      <alignment horizontal="center"/>
      <protection locked="0"/>
    </xf>
    <xf numFmtId="2" fontId="1" fillId="34" borderId="22" xfId="0" applyNumberFormat="1" applyFont="1" applyFill="1" applyBorder="1" applyAlignment="1" applyProtection="1">
      <alignment horizontal="center"/>
      <protection locked="0"/>
    </xf>
    <xf numFmtId="165" fontId="1" fillId="34" borderId="10" xfId="0" applyNumberFormat="1" applyFont="1" applyFill="1" applyBorder="1" applyAlignment="1" applyProtection="1">
      <alignment horizontal="center"/>
      <protection locked="0"/>
    </xf>
    <xf numFmtId="0" fontId="1" fillId="33" borderId="10" xfId="0" applyFont="1" applyFill="1" applyBorder="1" applyAlignment="1" applyProtection="1">
      <alignment horizontal="left"/>
      <protection locked="0"/>
    </xf>
    <xf numFmtId="0" fontId="1" fillId="34" borderId="10" xfId="0" applyFont="1" applyFill="1" applyBorder="1" applyAlignment="1" applyProtection="1">
      <alignment horizontal="left"/>
      <protection locked="0"/>
    </xf>
    <xf numFmtId="0" fontId="1" fillId="35" borderId="10" xfId="0" applyFont="1" applyFill="1" applyBorder="1" applyAlignment="1" applyProtection="1">
      <alignment horizontal="left"/>
      <protection locked="0"/>
    </xf>
    <xf numFmtId="0" fontId="2" fillId="0" borderId="14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2" fontId="2" fillId="0" borderId="39" xfId="0" applyNumberFormat="1" applyFont="1" applyBorder="1" applyAlignment="1">
      <alignment horizontal="center" wrapText="1"/>
    </xf>
    <xf numFmtId="0" fontId="1" fillId="0" borderId="40" xfId="0" applyFont="1" applyBorder="1" applyAlignment="1">
      <alignment/>
    </xf>
    <xf numFmtId="0" fontId="1" fillId="0" borderId="14" xfId="0" applyFont="1" applyBorder="1" applyAlignment="1">
      <alignment vertical="center"/>
    </xf>
    <xf numFmtId="0" fontId="1" fillId="0" borderId="38" xfId="0" applyFont="1" applyFill="1" applyBorder="1" applyAlignment="1">
      <alignment vertical="center" wrapText="1"/>
    </xf>
    <xf numFmtId="0" fontId="1" fillId="0" borderId="41" xfId="0" applyFont="1" applyBorder="1" applyAlignment="1">
      <alignment/>
    </xf>
    <xf numFmtId="0" fontId="1" fillId="33" borderId="28" xfId="0" applyFont="1" applyFill="1" applyBorder="1" applyAlignment="1">
      <alignment horizontal="center" vertical="center"/>
    </xf>
    <xf numFmtId="0" fontId="1" fillId="34" borderId="22" xfId="0" applyFont="1" applyFill="1" applyBorder="1" applyAlignment="1">
      <alignment horizontal="center" vertical="top"/>
    </xf>
    <xf numFmtId="165" fontId="1" fillId="33" borderId="22" xfId="0" applyNumberFormat="1" applyFont="1" applyFill="1" applyBorder="1" applyAlignment="1">
      <alignment horizontal="center"/>
    </xf>
    <xf numFmtId="2" fontId="1" fillId="34" borderId="28" xfId="0" applyNumberFormat="1" applyFont="1" applyFill="1" applyBorder="1" applyAlignment="1">
      <alignment horizontal="center"/>
    </xf>
    <xf numFmtId="165" fontId="1" fillId="34" borderId="28" xfId="0" applyNumberFormat="1" applyFont="1" applyFill="1" applyBorder="1" applyAlignment="1">
      <alignment horizontal="center"/>
    </xf>
    <xf numFmtId="0" fontId="3" fillId="34" borderId="22" xfId="0" applyFont="1" applyFill="1" applyBorder="1" applyAlignment="1">
      <alignment/>
    </xf>
    <xf numFmtId="0" fontId="1" fillId="34" borderId="26" xfId="0" applyFont="1" applyFill="1" applyBorder="1" applyAlignment="1">
      <alignment/>
    </xf>
    <xf numFmtId="0" fontId="1" fillId="0" borderId="42" xfId="0" applyFont="1" applyBorder="1" applyAlignment="1">
      <alignment/>
    </xf>
    <xf numFmtId="0" fontId="1" fillId="35" borderId="28" xfId="0" applyFont="1" applyFill="1" applyBorder="1" applyAlignment="1" applyProtection="1">
      <alignment/>
      <protection locked="0"/>
    </xf>
    <xf numFmtId="166" fontId="1" fillId="33" borderId="22" xfId="0" applyNumberFormat="1" applyFont="1" applyFill="1" applyBorder="1" applyAlignment="1">
      <alignment horizontal="center"/>
    </xf>
    <xf numFmtId="0" fontId="1" fillId="36" borderId="10" xfId="0" applyFont="1" applyFill="1" applyBorder="1" applyAlignment="1">
      <alignment horizontal="center"/>
    </xf>
    <xf numFmtId="0" fontId="1" fillId="36" borderId="21" xfId="0" applyFont="1" applyFill="1" applyBorder="1" applyAlignment="1">
      <alignment horizontal="center"/>
    </xf>
    <xf numFmtId="0" fontId="1" fillId="35" borderId="10" xfId="0" applyFont="1" applyFill="1" applyBorder="1" applyAlignment="1">
      <alignment vertical="center"/>
    </xf>
    <xf numFmtId="2" fontId="1" fillId="35" borderId="26" xfId="0" applyNumberFormat="1" applyFont="1" applyFill="1" applyBorder="1" applyAlignment="1">
      <alignment horizontal="left" indent="3"/>
    </xf>
    <xf numFmtId="165" fontId="1" fillId="33" borderId="21" xfId="0" applyNumberFormat="1" applyFont="1" applyFill="1" applyBorder="1" applyAlignment="1" applyProtection="1">
      <alignment horizontal="center"/>
      <protection locked="0"/>
    </xf>
    <xf numFmtId="165" fontId="1" fillId="33" borderId="10" xfId="0" applyNumberFormat="1" applyFont="1" applyFill="1" applyBorder="1" applyAlignment="1" applyProtection="1">
      <alignment horizontal="center"/>
      <protection locked="0"/>
    </xf>
    <xf numFmtId="165" fontId="1" fillId="33" borderId="22" xfId="0" applyNumberFormat="1" applyFont="1" applyFill="1" applyBorder="1" applyAlignment="1" applyProtection="1">
      <alignment horizontal="center"/>
      <protection locked="0"/>
    </xf>
    <xf numFmtId="165" fontId="1" fillId="35" borderId="21" xfId="0" applyNumberFormat="1" applyFont="1" applyFill="1" applyBorder="1" applyAlignment="1" applyProtection="1">
      <alignment horizontal="center"/>
      <protection locked="0"/>
    </xf>
    <xf numFmtId="165" fontId="1" fillId="35" borderId="22" xfId="0" applyNumberFormat="1" applyFont="1" applyFill="1" applyBorder="1" applyAlignment="1" applyProtection="1">
      <alignment horizontal="center"/>
      <protection locked="0"/>
    </xf>
    <xf numFmtId="0" fontId="1" fillId="33" borderId="22" xfId="0" applyFont="1" applyFill="1" applyBorder="1" applyAlignment="1">
      <alignment horizontal="center" vertical="center" wrapText="1"/>
    </xf>
    <xf numFmtId="165" fontId="1" fillId="33" borderId="28" xfId="0" applyNumberFormat="1" applyFont="1" applyFill="1" applyBorder="1" applyAlignment="1" applyProtection="1">
      <alignment horizontal="center"/>
      <protection locked="0"/>
    </xf>
    <xf numFmtId="0" fontId="9" fillId="33" borderId="10" xfId="0" applyFont="1" applyFill="1" applyBorder="1" applyAlignment="1" applyProtection="1">
      <alignment horizontal="center"/>
      <protection locked="0"/>
    </xf>
    <xf numFmtId="2" fontId="1" fillId="36" borderId="22" xfId="0" applyNumberFormat="1" applyFont="1" applyFill="1" applyBorder="1" applyAlignment="1" applyProtection="1">
      <alignment horizontal="center"/>
      <protection locked="0"/>
    </xf>
    <xf numFmtId="2" fontId="1" fillId="35" borderId="21" xfId="0" applyNumberFormat="1" applyFont="1" applyFill="1" applyBorder="1" applyAlignment="1" applyProtection="1">
      <alignment horizontal="center"/>
      <protection locked="0"/>
    </xf>
    <xf numFmtId="0" fontId="3" fillId="35" borderId="10" xfId="0" applyFont="1" applyFill="1" applyBorder="1" applyAlignment="1" applyProtection="1">
      <alignment/>
      <protection locked="0"/>
    </xf>
    <xf numFmtId="0" fontId="3" fillId="35" borderId="22" xfId="0" applyFont="1" applyFill="1" applyBorder="1" applyAlignment="1" applyProtection="1">
      <alignment/>
      <protection locked="0"/>
    </xf>
    <xf numFmtId="2" fontId="1" fillId="36" borderId="28" xfId="0" applyNumberFormat="1" applyFont="1" applyFill="1" applyBorder="1" applyAlignment="1" applyProtection="1">
      <alignment horizontal="center"/>
      <protection/>
    </xf>
    <xf numFmtId="2" fontId="1" fillId="36" borderId="10" xfId="0" applyNumberFormat="1" applyFont="1" applyFill="1" applyBorder="1" applyAlignment="1" applyProtection="1">
      <alignment horizontal="center"/>
      <protection/>
    </xf>
    <xf numFmtId="0" fontId="2" fillId="33" borderId="10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2" fillId="33" borderId="25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 wrapText="1"/>
    </xf>
    <xf numFmtId="2" fontId="1" fillId="35" borderId="25" xfId="0" applyNumberFormat="1" applyFont="1" applyFill="1" applyBorder="1" applyAlignment="1">
      <alignment horizontal="center"/>
    </xf>
    <xf numFmtId="0" fontId="1" fillId="34" borderId="23" xfId="0" applyFont="1" applyFill="1" applyBorder="1" applyAlignment="1">
      <alignment horizontal="center"/>
    </xf>
    <xf numFmtId="2" fontId="1" fillId="34" borderId="43" xfId="0" applyNumberFormat="1" applyFont="1" applyFill="1" applyBorder="1" applyAlignment="1">
      <alignment horizontal="center"/>
    </xf>
    <xf numFmtId="2" fontId="1" fillId="35" borderId="37" xfId="0" applyNumberFormat="1" applyFont="1" applyFill="1" applyBorder="1" applyAlignment="1">
      <alignment horizontal="center"/>
    </xf>
    <xf numFmtId="2" fontId="1" fillId="35" borderId="26" xfId="0" applyNumberFormat="1" applyFont="1" applyFill="1" applyBorder="1" applyAlignment="1">
      <alignment horizontal="center"/>
    </xf>
    <xf numFmtId="1" fontId="1" fillId="33" borderId="28" xfId="0" applyNumberFormat="1" applyFont="1" applyFill="1" applyBorder="1" applyAlignment="1" applyProtection="1">
      <alignment horizontal="center"/>
      <protection locked="0"/>
    </xf>
    <xf numFmtId="1" fontId="1" fillId="33" borderId="10" xfId="0" applyNumberFormat="1" applyFont="1" applyFill="1" applyBorder="1" applyAlignment="1" applyProtection="1">
      <alignment horizontal="center"/>
      <protection locked="0"/>
    </xf>
    <xf numFmtId="1" fontId="1" fillId="33" borderId="22" xfId="0" applyNumberFormat="1" applyFont="1" applyFill="1" applyBorder="1" applyAlignment="1" applyProtection="1">
      <alignment horizontal="center"/>
      <protection locked="0"/>
    </xf>
    <xf numFmtId="2" fontId="1" fillId="33" borderId="22" xfId="0" applyNumberFormat="1" applyFont="1" applyFill="1" applyBorder="1" applyAlignment="1" applyProtection="1">
      <alignment horizontal="center"/>
      <protection/>
    </xf>
    <xf numFmtId="1" fontId="1" fillId="35" borderId="21" xfId="0" applyNumberFormat="1" applyFont="1" applyFill="1" applyBorder="1" applyAlignment="1" applyProtection="1">
      <alignment horizontal="center"/>
      <protection locked="0"/>
    </xf>
    <xf numFmtId="1" fontId="1" fillId="35" borderId="10" xfId="0" applyNumberFormat="1" applyFont="1" applyFill="1" applyBorder="1" applyAlignment="1" applyProtection="1">
      <alignment horizontal="center"/>
      <protection locked="0"/>
    </xf>
    <xf numFmtId="1" fontId="1" fillId="34" borderId="21" xfId="0" applyNumberFormat="1" applyFont="1" applyFill="1" applyBorder="1" applyAlignment="1" applyProtection="1">
      <alignment horizontal="center"/>
      <protection locked="0"/>
    </xf>
    <xf numFmtId="1" fontId="1" fillId="34" borderId="10" xfId="0" applyNumberFormat="1" applyFont="1" applyFill="1" applyBorder="1" applyAlignment="1" applyProtection="1">
      <alignment horizontal="center"/>
      <protection locked="0"/>
    </xf>
    <xf numFmtId="1" fontId="1" fillId="34" borderId="22" xfId="0" applyNumberFormat="1" applyFont="1" applyFill="1" applyBorder="1" applyAlignment="1" applyProtection="1">
      <alignment horizontal="center"/>
      <protection locked="0"/>
    </xf>
    <xf numFmtId="2" fontId="1" fillId="33" borderId="24" xfId="0" applyNumberFormat="1" applyFont="1" applyFill="1" applyBorder="1" applyAlignment="1">
      <alignment horizontal="center"/>
    </xf>
    <xf numFmtId="165" fontId="1" fillId="34" borderId="11" xfId="0" applyNumberFormat="1" applyFont="1" applyFill="1" applyBorder="1" applyAlignment="1">
      <alignment horizontal="center"/>
    </xf>
    <xf numFmtId="0" fontId="1" fillId="33" borderId="32" xfId="0" applyFont="1" applyFill="1" applyBorder="1" applyAlignment="1">
      <alignment horizontal="center" vertical="center"/>
    </xf>
    <xf numFmtId="166" fontId="1" fillId="35" borderId="10" xfId="0" applyNumberFormat="1" applyFont="1" applyFill="1" applyBorder="1" applyAlignment="1" applyProtection="1">
      <alignment horizontal="left" indent="4"/>
      <protection locked="0"/>
    </xf>
    <xf numFmtId="0" fontId="1" fillId="0" borderId="0" xfId="0" applyFont="1" applyFill="1" applyBorder="1" applyAlignment="1" applyProtection="1">
      <alignment vertical="center" textRotation="90" wrapText="1"/>
      <protection locked="0"/>
    </xf>
    <xf numFmtId="0" fontId="1" fillId="0" borderId="0" xfId="0" applyFont="1" applyBorder="1" applyAlignment="1">
      <alignment/>
    </xf>
    <xf numFmtId="0" fontId="1" fillId="36" borderId="28" xfId="0" applyFont="1" applyFill="1" applyBorder="1" applyAlignment="1" applyProtection="1">
      <alignment horizontal="center"/>
      <protection locked="0"/>
    </xf>
    <xf numFmtId="167" fontId="1" fillId="35" borderId="10" xfId="0" applyNumberFormat="1" applyFont="1" applyFill="1" applyBorder="1" applyAlignment="1">
      <alignment horizontal="center"/>
    </xf>
    <xf numFmtId="0" fontId="1" fillId="0" borderId="21" xfId="0" applyFont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center"/>
      <protection locked="0"/>
    </xf>
    <xf numFmtId="0" fontId="1" fillId="0" borderId="28" xfId="0" applyFont="1" applyBorder="1" applyAlignment="1" applyProtection="1">
      <alignment horizontal="center"/>
      <protection locked="0"/>
    </xf>
    <xf numFmtId="0" fontId="1" fillId="0" borderId="22" xfId="0" applyFont="1" applyBorder="1" applyAlignment="1" applyProtection="1">
      <alignment horizontal="center"/>
      <protection locked="0"/>
    </xf>
    <xf numFmtId="0" fontId="1" fillId="0" borderId="33" xfId="0" applyFont="1" applyBorder="1" applyAlignment="1" applyProtection="1">
      <alignment horizontal="center"/>
      <protection locked="0"/>
    </xf>
    <xf numFmtId="0" fontId="1" fillId="0" borderId="24" xfId="0" applyFont="1" applyBorder="1" applyAlignment="1" applyProtection="1">
      <alignment horizontal="center"/>
      <protection locked="0"/>
    </xf>
    <xf numFmtId="0" fontId="1" fillId="0" borderId="27" xfId="0" applyFont="1" applyBorder="1" applyAlignment="1" applyProtection="1">
      <alignment horizontal="center"/>
      <protection locked="0"/>
    </xf>
    <xf numFmtId="2" fontId="1" fillId="33" borderId="37" xfId="0" applyNumberFormat="1" applyFont="1" applyFill="1" applyBorder="1" applyAlignment="1">
      <alignment horizontal="center"/>
    </xf>
    <xf numFmtId="167" fontId="1" fillId="33" borderId="10" xfId="0" applyNumberFormat="1" applyFont="1" applyFill="1" applyBorder="1" applyAlignment="1">
      <alignment horizontal="center"/>
    </xf>
    <xf numFmtId="2" fontId="1" fillId="33" borderId="25" xfId="0" applyNumberFormat="1" applyFont="1" applyFill="1" applyBorder="1" applyAlignment="1">
      <alignment horizontal="center"/>
    </xf>
    <xf numFmtId="167" fontId="1" fillId="33" borderId="22" xfId="0" applyNumberFormat="1" applyFont="1" applyFill="1" applyBorder="1" applyAlignment="1">
      <alignment horizontal="center"/>
    </xf>
    <xf numFmtId="167" fontId="1" fillId="34" borderId="21" xfId="0" applyNumberFormat="1" applyFont="1" applyFill="1" applyBorder="1" applyAlignment="1">
      <alignment horizontal="center"/>
    </xf>
    <xf numFmtId="2" fontId="1" fillId="34" borderId="21" xfId="0" applyNumberFormat="1" applyFont="1" applyFill="1" applyBorder="1" applyAlignment="1">
      <alignment horizontal="center"/>
    </xf>
    <xf numFmtId="2" fontId="1" fillId="34" borderId="37" xfId="0" applyNumberFormat="1" applyFont="1" applyFill="1" applyBorder="1" applyAlignment="1">
      <alignment horizontal="center"/>
    </xf>
    <xf numFmtId="167" fontId="1" fillId="34" borderId="10" xfId="0" applyNumberFormat="1" applyFont="1" applyFill="1" applyBorder="1" applyAlignment="1">
      <alignment horizontal="center"/>
    </xf>
    <xf numFmtId="167" fontId="1" fillId="34" borderId="22" xfId="0" applyNumberFormat="1" applyFont="1" applyFill="1" applyBorder="1" applyAlignment="1">
      <alignment horizontal="center"/>
    </xf>
    <xf numFmtId="2" fontId="1" fillId="34" borderId="22" xfId="0" applyNumberFormat="1" applyFont="1" applyFill="1" applyBorder="1" applyAlignment="1">
      <alignment horizontal="center"/>
    </xf>
    <xf numFmtId="2" fontId="1" fillId="34" borderId="26" xfId="0" applyNumberFormat="1" applyFont="1" applyFill="1" applyBorder="1" applyAlignment="1">
      <alignment horizontal="center"/>
    </xf>
    <xf numFmtId="167" fontId="1" fillId="35" borderId="21" xfId="0" applyNumberFormat="1" applyFont="1" applyFill="1" applyBorder="1" applyAlignment="1">
      <alignment horizontal="center"/>
    </xf>
    <xf numFmtId="167" fontId="1" fillId="35" borderId="22" xfId="0" applyNumberFormat="1" applyFont="1" applyFill="1" applyBorder="1" applyAlignment="1">
      <alignment horizontal="center"/>
    </xf>
    <xf numFmtId="2" fontId="1" fillId="35" borderId="22" xfId="0" applyNumberFormat="1" applyFont="1" applyFill="1" applyBorder="1" applyAlignment="1">
      <alignment horizontal="center"/>
    </xf>
    <xf numFmtId="2" fontId="1" fillId="33" borderId="35" xfId="0" applyNumberFormat="1" applyFont="1" applyFill="1" applyBorder="1" applyAlignment="1">
      <alignment horizontal="center"/>
    </xf>
    <xf numFmtId="1" fontId="1" fillId="34" borderId="10" xfId="0" applyNumberFormat="1" applyFont="1" applyFill="1" applyBorder="1" applyAlignment="1">
      <alignment horizontal="center"/>
    </xf>
    <xf numFmtId="2" fontId="1" fillId="34" borderId="35" xfId="0" applyNumberFormat="1" applyFont="1" applyFill="1" applyBorder="1" applyAlignment="1">
      <alignment horizontal="center"/>
    </xf>
    <xf numFmtId="1" fontId="1" fillId="34" borderId="22" xfId="0" applyNumberFormat="1" applyFont="1" applyFill="1" applyBorder="1" applyAlignment="1">
      <alignment horizontal="center"/>
    </xf>
    <xf numFmtId="165" fontId="1" fillId="34" borderId="22" xfId="0" applyNumberFormat="1" applyFont="1" applyFill="1" applyBorder="1" applyAlignment="1" applyProtection="1">
      <alignment horizontal="center"/>
      <protection locked="0"/>
    </xf>
    <xf numFmtId="165" fontId="1" fillId="34" borderId="21" xfId="0" applyNumberFormat="1" applyFont="1" applyFill="1" applyBorder="1" applyAlignment="1" applyProtection="1">
      <alignment horizontal="center"/>
      <protection locked="0"/>
    </xf>
    <xf numFmtId="2" fontId="1" fillId="33" borderId="21" xfId="0" applyNumberFormat="1" applyFont="1" applyFill="1" applyBorder="1" applyAlignment="1" applyProtection="1">
      <alignment horizontal="center"/>
      <protection locked="0"/>
    </xf>
    <xf numFmtId="167" fontId="1" fillId="33" borderId="21" xfId="0" applyNumberFormat="1" applyFont="1" applyFill="1" applyBorder="1" applyAlignment="1" applyProtection="1">
      <alignment horizontal="center"/>
      <protection/>
    </xf>
    <xf numFmtId="2" fontId="1" fillId="33" borderId="33" xfId="0" applyNumberFormat="1" applyFont="1" applyFill="1" applyBorder="1" applyAlignment="1" applyProtection="1">
      <alignment horizontal="center"/>
      <protection/>
    </xf>
    <xf numFmtId="167" fontId="1" fillId="34" borderId="21" xfId="0" applyNumberFormat="1" applyFont="1" applyFill="1" applyBorder="1" applyAlignment="1" applyProtection="1">
      <alignment horizontal="center"/>
      <protection/>
    </xf>
    <xf numFmtId="2" fontId="1" fillId="34" borderId="21" xfId="0" applyNumberFormat="1" applyFont="1" applyFill="1" applyBorder="1" applyAlignment="1" applyProtection="1">
      <alignment horizontal="center"/>
      <protection/>
    </xf>
    <xf numFmtId="2" fontId="1" fillId="34" borderId="37" xfId="0" applyNumberFormat="1" applyFont="1" applyFill="1" applyBorder="1" applyAlignment="1" applyProtection="1">
      <alignment horizontal="center"/>
      <protection/>
    </xf>
    <xf numFmtId="167" fontId="1" fillId="35" borderId="21" xfId="0" applyNumberFormat="1" applyFont="1" applyFill="1" applyBorder="1" applyAlignment="1" applyProtection="1">
      <alignment horizontal="center"/>
      <protection/>
    </xf>
    <xf numFmtId="2" fontId="1" fillId="35" borderId="21" xfId="0" applyNumberFormat="1" applyFont="1" applyFill="1" applyBorder="1" applyAlignment="1" applyProtection="1">
      <alignment horizontal="center"/>
      <protection/>
    </xf>
    <xf numFmtId="2" fontId="1" fillId="35" borderId="37" xfId="0" applyNumberFormat="1" applyFont="1" applyFill="1" applyBorder="1" applyAlignment="1" applyProtection="1">
      <alignment horizontal="center"/>
      <protection/>
    </xf>
    <xf numFmtId="167" fontId="1" fillId="36" borderId="28" xfId="0" applyNumberFormat="1" applyFont="1" applyFill="1" applyBorder="1" applyAlignment="1" applyProtection="1">
      <alignment horizontal="center"/>
      <protection/>
    </xf>
    <xf numFmtId="2" fontId="1" fillId="36" borderId="28" xfId="0" applyNumberFormat="1" applyFont="1" applyFill="1" applyBorder="1" applyAlignment="1" applyProtection="1">
      <alignment horizontal="center"/>
      <protection locked="0"/>
    </xf>
    <xf numFmtId="2" fontId="1" fillId="36" borderId="36" xfId="0" applyNumberFormat="1" applyFont="1" applyFill="1" applyBorder="1" applyAlignment="1" applyProtection="1">
      <alignment horizontal="center"/>
      <protection/>
    </xf>
    <xf numFmtId="167" fontId="1" fillId="36" borderId="10" xfId="0" applyNumberFormat="1" applyFont="1" applyFill="1" applyBorder="1" applyAlignment="1" applyProtection="1">
      <alignment horizontal="center"/>
      <protection/>
    </xf>
    <xf numFmtId="2" fontId="1" fillId="36" borderId="25" xfId="0" applyNumberFormat="1" applyFont="1" applyFill="1" applyBorder="1" applyAlignment="1" applyProtection="1">
      <alignment horizontal="center"/>
      <protection/>
    </xf>
    <xf numFmtId="167" fontId="1" fillId="33" borderId="28" xfId="0" applyNumberFormat="1" applyFont="1" applyFill="1" applyBorder="1" applyAlignment="1">
      <alignment horizontal="center"/>
    </xf>
    <xf numFmtId="2" fontId="1" fillId="33" borderId="27" xfId="0" applyNumberFormat="1" applyFont="1" applyFill="1" applyBorder="1" applyAlignment="1">
      <alignment horizontal="center"/>
    </xf>
    <xf numFmtId="167" fontId="1" fillId="34" borderId="44" xfId="0" applyNumberFormat="1" applyFont="1" applyFill="1" applyBorder="1" applyAlignment="1">
      <alignment horizontal="center"/>
    </xf>
    <xf numFmtId="2" fontId="1" fillId="34" borderId="44" xfId="0" applyNumberFormat="1" applyFont="1" applyFill="1" applyBorder="1" applyAlignment="1">
      <alignment horizontal="center"/>
    </xf>
    <xf numFmtId="2" fontId="1" fillId="34" borderId="45" xfId="0" applyNumberFormat="1" applyFont="1" applyFill="1" applyBorder="1" applyAlignment="1">
      <alignment horizontal="center"/>
    </xf>
    <xf numFmtId="2" fontId="1" fillId="34" borderId="27" xfId="0" applyNumberFormat="1" applyFont="1" applyFill="1" applyBorder="1" applyAlignment="1">
      <alignment horizontal="center"/>
    </xf>
    <xf numFmtId="2" fontId="1" fillId="35" borderId="45" xfId="0" applyNumberFormat="1" applyFont="1" applyFill="1" applyBorder="1" applyAlignment="1">
      <alignment horizontal="center"/>
    </xf>
    <xf numFmtId="167" fontId="1" fillId="34" borderId="28" xfId="0" applyNumberFormat="1" applyFont="1" applyFill="1" applyBorder="1" applyAlignment="1">
      <alignment horizontal="center"/>
    </xf>
    <xf numFmtId="2" fontId="1" fillId="34" borderId="46" xfId="0" applyNumberFormat="1" applyFont="1" applyFill="1" applyBorder="1" applyAlignment="1">
      <alignment horizontal="center"/>
    </xf>
    <xf numFmtId="2" fontId="1" fillId="35" borderId="21" xfId="0" applyNumberFormat="1" applyFont="1" applyFill="1" applyBorder="1" applyAlignment="1">
      <alignment horizontal="center"/>
    </xf>
    <xf numFmtId="2" fontId="1" fillId="34" borderId="24" xfId="0" applyNumberFormat="1" applyFont="1" applyFill="1" applyBorder="1" applyAlignment="1">
      <alignment horizontal="center"/>
    </xf>
    <xf numFmtId="2" fontId="1" fillId="33" borderId="46" xfId="0" applyNumberFormat="1" applyFont="1" applyFill="1" applyBorder="1" applyAlignment="1">
      <alignment horizontal="center"/>
    </xf>
    <xf numFmtId="2" fontId="1" fillId="33" borderId="43" xfId="0" applyNumberFormat="1" applyFont="1" applyFill="1" applyBorder="1" applyAlignment="1">
      <alignment horizontal="center"/>
    </xf>
    <xf numFmtId="167" fontId="1" fillId="33" borderId="32" xfId="0" applyNumberFormat="1" applyFont="1" applyFill="1" applyBorder="1" applyAlignment="1">
      <alignment horizontal="center"/>
    </xf>
    <xf numFmtId="2" fontId="1" fillId="33" borderId="23" xfId="0" applyNumberFormat="1" applyFont="1" applyFill="1" applyBorder="1" applyAlignment="1">
      <alignment horizontal="center"/>
    </xf>
    <xf numFmtId="2" fontId="1" fillId="33" borderId="12" xfId="0" applyNumberFormat="1" applyFont="1" applyFill="1" applyBorder="1" applyAlignment="1">
      <alignment horizontal="center"/>
    </xf>
    <xf numFmtId="167" fontId="1" fillId="36" borderId="28" xfId="0" applyNumberFormat="1" applyFont="1" applyFill="1" applyBorder="1" applyAlignment="1">
      <alignment horizontal="center"/>
    </xf>
    <xf numFmtId="2" fontId="1" fillId="36" borderId="10" xfId="0" applyNumberFormat="1" applyFont="1" applyFill="1" applyBorder="1" applyAlignment="1">
      <alignment horizontal="center"/>
    </xf>
    <xf numFmtId="2" fontId="1" fillId="36" borderId="25" xfId="0" applyNumberFormat="1" applyFont="1" applyFill="1" applyBorder="1" applyAlignment="1">
      <alignment horizontal="center"/>
    </xf>
    <xf numFmtId="167" fontId="1" fillId="36" borderId="10" xfId="0" applyNumberFormat="1" applyFont="1" applyFill="1" applyBorder="1" applyAlignment="1">
      <alignment horizontal="center"/>
    </xf>
    <xf numFmtId="2" fontId="1" fillId="35" borderId="47" xfId="0" applyNumberFormat="1" applyFont="1" applyFill="1" applyBorder="1" applyAlignment="1">
      <alignment horizontal="center"/>
    </xf>
    <xf numFmtId="2" fontId="1" fillId="35" borderId="24" xfId="0" applyNumberFormat="1" applyFont="1" applyFill="1" applyBorder="1" applyAlignment="1">
      <alignment horizontal="center"/>
    </xf>
    <xf numFmtId="2" fontId="1" fillId="35" borderId="46" xfId="0" applyNumberFormat="1" applyFont="1" applyFill="1" applyBorder="1" applyAlignment="1">
      <alignment horizontal="center"/>
    </xf>
    <xf numFmtId="2" fontId="1" fillId="35" borderId="43" xfId="0" applyNumberFormat="1" applyFont="1" applyFill="1" applyBorder="1" applyAlignment="1">
      <alignment horizontal="center"/>
    </xf>
    <xf numFmtId="2" fontId="1" fillId="35" borderId="27" xfId="0" applyNumberFormat="1" applyFont="1" applyFill="1" applyBorder="1" applyAlignment="1">
      <alignment horizontal="center"/>
    </xf>
    <xf numFmtId="2" fontId="1" fillId="34" borderId="47" xfId="0" applyNumberFormat="1" applyFont="1" applyFill="1" applyBorder="1" applyAlignment="1">
      <alignment horizontal="center"/>
    </xf>
    <xf numFmtId="166" fontId="1" fillId="34" borderId="21" xfId="0" applyNumberFormat="1" applyFont="1" applyFill="1" applyBorder="1" applyAlignment="1" applyProtection="1">
      <alignment horizontal="center"/>
      <protection locked="0"/>
    </xf>
    <xf numFmtId="2" fontId="1" fillId="33" borderId="35" xfId="0" applyNumberFormat="1" applyFont="1" applyFill="1" applyBorder="1" applyAlignment="1" quotePrefix="1">
      <alignment horizontal="center"/>
    </xf>
    <xf numFmtId="165" fontId="1" fillId="35" borderId="11" xfId="0" applyNumberFormat="1" applyFont="1" applyFill="1" applyBorder="1" applyAlignment="1" applyProtection="1">
      <alignment horizontal="center"/>
      <protection locked="0"/>
    </xf>
    <xf numFmtId="165" fontId="1" fillId="35" borderId="14" xfId="0" applyNumberFormat="1" applyFont="1" applyFill="1" applyBorder="1" applyAlignment="1" applyProtection="1">
      <alignment horizontal="center"/>
      <protection locked="0"/>
    </xf>
    <xf numFmtId="166" fontId="1" fillId="34" borderId="22" xfId="0" applyNumberFormat="1" applyFont="1" applyFill="1" applyBorder="1" applyAlignment="1" applyProtection="1">
      <alignment horizontal="center"/>
      <protection locked="0"/>
    </xf>
    <xf numFmtId="0" fontId="3" fillId="35" borderId="14" xfId="0" applyFont="1" applyFill="1" applyBorder="1" applyAlignment="1">
      <alignment/>
    </xf>
    <xf numFmtId="0" fontId="1" fillId="35" borderId="14" xfId="0" applyFont="1" applyFill="1" applyBorder="1" applyAlignment="1">
      <alignment horizontal="center"/>
    </xf>
    <xf numFmtId="0" fontId="1" fillId="35" borderId="14" xfId="0" applyFont="1" applyFill="1" applyBorder="1" applyAlignment="1">
      <alignment/>
    </xf>
    <xf numFmtId="0" fontId="1" fillId="35" borderId="14" xfId="0" applyFont="1" applyFill="1" applyBorder="1" applyAlignment="1">
      <alignment/>
    </xf>
    <xf numFmtId="0" fontId="1" fillId="35" borderId="39" xfId="0" applyFont="1" applyFill="1" applyBorder="1" applyAlignment="1">
      <alignment/>
    </xf>
    <xf numFmtId="1" fontId="1" fillId="33" borderId="22" xfId="0" applyNumberFormat="1" applyFont="1" applyFill="1" applyBorder="1" applyAlignment="1">
      <alignment horizontal="center"/>
    </xf>
    <xf numFmtId="1" fontId="1" fillId="35" borderId="22" xfId="0" applyNumberFormat="1" applyFont="1" applyFill="1" applyBorder="1" applyAlignment="1" applyProtection="1">
      <alignment horizontal="center"/>
      <protection locked="0"/>
    </xf>
    <xf numFmtId="0" fontId="1" fillId="35" borderId="48" xfId="0" applyFont="1" applyFill="1" applyBorder="1" applyAlignment="1">
      <alignment/>
    </xf>
    <xf numFmtId="164" fontId="1" fillId="35" borderId="22" xfId="0" applyNumberFormat="1" applyFont="1" applyFill="1" applyBorder="1" applyAlignment="1">
      <alignment/>
    </xf>
    <xf numFmtId="2" fontId="1" fillId="35" borderId="29" xfId="0" applyNumberFormat="1" applyFont="1" applyFill="1" applyBorder="1" applyAlignment="1">
      <alignment horizontal="left" indent="3"/>
    </xf>
    <xf numFmtId="0" fontId="1" fillId="35" borderId="28" xfId="0" applyFont="1" applyFill="1" applyBorder="1" applyAlignment="1" applyProtection="1">
      <alignment horizontal="center"/>
      <protection locked="0"/>
    </xf>
    <xf numFmtId="2" fontId="1" fillId="34" borderId="14" xfId="0" applyNumberFormat="1" applyFont="1" applyFill="1" applyBorder="1" applyAlignment="1" applyProtection="1">
      <alignment horizontal="center"/>
      <protection locked="0"/>
    </xf>
    <xf numFmtId="2" fontId="1" fillId="35" borderId="24" xfId="0" applyNumberFormat="1" applyFont="1" applyFill="1" applyBorder="1" applyAlignment="1" applyProtection="1">
      <alignment horizontal="center"/>
      <protection/>
    </xf>
    <xf numFmtId="0" fontId="1" fillId="34" borderId="22" xfId="0" applyFont="1" applyFill="1" applyBorder="1" applyAlignment="1" applyProtection="1">
      <alignment horizontal="left"/>
      <protection locked="0"/>
    </xf>
    <xf numFmtId="165" fontId="1" fillId="34" borderId="21" xfId="0" applyNumberFormat="1" applyFont="1" applyFill="1" applyBorder="1" applyAlignment="1">
      <alignment horizontal="center"/>
    </xf>
    <xf numFmtId="165" fontId="1" fillId="34" borderId="22" xfId="0" applyNumberFormat="1" applyFont="1" applyFill="1" applyBorder="1" applyAlignment="1">
      <alignment horizontal="center"/>
    </xf>
    <xf numFmtId="1" fontId="1" fillId="34" borderId="21" xfId="0" applyNumberFormat="1" applyFont="1" applyFill="1" applyBorder="1" applyAlignment="1">
      <alignment horizontal="center"/>
    </xf>
    <xf numFmtId="1" fontId="1" fillId="35" borderId="10" xfId="0" applyNumberFormat="1" applyFont="1" applyFill="1" applyBorder="1" applyAlignment="1">
      <alignment horizontal="center"/>
    </xf>
    <xf numFmtId="165" fontId="1" fillId="34" borderId="22" xfId="0" applyNumberFormat="1" applyFont="1" applyFill="1" applyBorder="1" applyAlignment="1">
      <alignment/>
    </xf>
    <xf numFmtId="165" fontId="1" fillId="33" borderId="21" xfId="0" applyNumberFormat="1" applyFont="1" applyFill="1" applyBorder="1" applyAlignment="1">
      <alignment horizontal="center"/>
    </xf>
    <xf numFmtId="165" fontId="1" fillId="35" borderId="21" xfId="0" applyNumberFormat="1" applyFont="1" applyFill="1" applyBorder="1" applyAlignment="1">
      <alignment horizontal="center"/>
    </xf>
    <xf numFmtId="165" fontId="1" fillId="35" borderId="22" xfId="0" applyNumberFormat="1" applyFont="1" applyFill="1" applyBorder="1" applyAlignment="1">
      <alignment horizontal="center"/>
    </xf>
    <xf numFmtId="2" fontId="1" fillId="35" borderId="38" xfId="0" applyNumberFormat="1" applyFont="1" applyFill="1" applyBorder="1" applyAlignment="1">
      <alignment horizontal="center"/>
    </xf>
    <xf numFmtId="1" fontId="1" fillId="33" borderId="21" xfId="0" applyNumberFormat="1" applyFont="1" applyFill="1" applyBorder="1" applyAlignment="1">
      <alignment horizontal="center"/>
    </xf>
    <xf numFmtId="165" fontId="1" fillId="35" borderId="28" xfId="0" applyNumberFormat="1" applyFont="1" applyFill="1" applyBorder="1" applyAlignment="1">
      <alignment horizontal="center"/>
    </xf>
    <xf numFmtId="1" fontId="1" fillId="35" borderId="22" xfId="0" applyNumberFormat="1" applyFont="1" applyFill="1" applyBorder="1" applyAlignment="1">
      <alignment horizontal="center"/>
    </xf>
    <xf numFmtId="165" fontId="1" fillId="35" borderId="11" xfId="0" applyNumberFormat="1" applyFont="1" applyFill="1" applyBorder="1" applyAlignment="1">
      <alignment horizontal="center"/>
    </xf>
    <xf numFmtId="167" fontId="1" fillId="35" borderId="10" xfId="0" applyNumberFormat="1" applyFont="1" applyFill="1" applyBorder="1" applyAlignment="1" applyProtection="1">
      <alignment horizontal="center"/>
      <protection locked="0"/>
    </xf>
    <xf numFmtId="167" fontId="1" fillId="35" borderId="22" xfId="0" applyNumberFormat="1" applyFont="1" applyFill="1" applyBorder="1" applyAlignment="1" applyProtection="1">
      <alignment horizontal="center"/>
      <protection locked="0"/>
    </xf>
    <xf numFmtId="165" fontId="1" fillId="34" borderId="28" xfId="0" applyNumberFormat="1" applyFont="1" applyFill="1" applyBorder="1" applyAlignment="1" applyProtection="1">
      <alignment horizontal="center"/>
      <protection locked="0"/>
    </xf>
    <xf numFmtId="165" fontId="1" fillId="35" borderId="28" xfId="0" applyNumberFormat="1" applyFont="1" applyFill="1" applyBorder="1" applyAlignment="1" applyProtection="1">
      <alignment horizontal="center"/>
      <protection locked="0"/>
    </xf>
    <xf numFmtId="1" fontId="1" fillId="34" borderId="28" xfId="0" applyNumberFormat="1" applyFont="1" applyFill="1" applyBorder="1" applyAlignment="1" applyProtection="1">
      <alignment horizontal="center"/>
      <protection locked="0"/>
    </xf>
    <xf numFmtId="1" fontId="1" fillId="35" borderId="28" xfId="0" applyNumberFormat="1" applyFont="1" applyFill="1" applyBorder="1" applyAlignment="1" applyProtection="1">
      <alignment horizontal="center"/>
      <protection locked="0"/>
    </xf>
    <xf numFmtId="165" fontId="1" fillId="34" borderId="44" xfId="0" applyNumberFormat="1" applyFont="1" applyFill="1" applyBorder="1" applyAlignment="1">
      <alignment horizontal="center"/>
    </xf>
    <xf numFmtId="165" fontId="1" fillId="35" borderId="44" xfId="0" applyNumberFormat="1" applyFont="1" applyFill="1" applyBorder="1" applyAlignment="1">
      <alignment horizontal="center"/>
    </xf>
    <xf numFmtId="1" fontId="1" fillId="34" borderId="28" xfId="0" applyNumberFormat="1" applyFont="1" applyFill="1" applyBorder="1" applyAlignment="1">
      <alignment horizontal="center"/>
    </xf>
    <xf numFmtId="1" fontId="1" fillId="34" borderId="11" xfId="0" applyNumberFormat="1" applyFont="1" applyFill="1" applyBorder="1" applyAlignment="1">
      <alignment horizontal="center"/>
    </xf>
    <xf numFmtId="165" fontId="1" fillId="34" borderId="14" xfId="0" applyNumberFormat="1" applyFont="1" applyFill="1" applyBorder="1" applyAlignment="1">
      <alignment horizontal="center"/>
    </xf>
    <xf numFmtId="167" fontId="1" fillId="34" borderId="11" xfId="0" applyNumberFormat="1" applyFont="1" applyFill="1" applyBorder="1" applyAlignment="1">
      <alignment horizontal="center"/>
    </xf>
    <xf numFmtId="1" fontId="1" fillId="35" borderId="21" xfId="0" applyNumberFormat="1" applyFont="1" applyFill="1" applyBorder="1" applyAlignment="1">
      <alignment horizontal="center"/>
    </xf>
    <xf numFmtId="1" fontId="1" fillId="33" borderId="11" xfId="0" applyNumberFormat="1" applyFont="1" applyFill="1" applyBorder="1" applyAlignment="1">
      <alignment horizontal="center"/>
    </xf>
    <xf numFmtId="1" fontId="1" fillId="36" borderId="21" xfId="0" applyNumberFormat="1" applyFont="1" applyFill="1" applyBorder="1" applyAlignment="1">
      <alignment horizontal="center"/>
    </xf>
    <xf numFmtId="1" fontId="1" fillId="36" borderId="10" xfId="0" applyNumberFormat="1" applyFont="1" applyFill="1" applyBorder="1" applyAlignment="1">
      <alignment horizontal="center"/>
    </xf>
    <xf numFmtId="1" fontId="1" fillId="36" borderId="22" xfId="0" applyNumberFormat="1" applyFont="1" applyFill="1" applyBorder="1" applyAlignment="1">
      <alignment horizontal="center"/>
    </xf>
    <xf numFmtId="165" fontId="1" fillId="33" borderId="11" xfId="0" applyNumberFormat="1" applyFont="1" applyFill="1" applyBorder="1" applyAlignment="1">
      <alignment horizontal="center"/>
    </xf>
    <xf numFmtId="165" fontId="1" fillId="36" borderId="21" xfId="0" applyNumberFormat="1" applyFont="1" applyFill="1" applyBorder="1" applyAlignment="1">
      <alignment horizontal="center"/>
    </xf>
    <xf numFmtId="165" fontId="1" fillId="36" borderId="10" xfId="0" applyNumberFormat="1" applyFont="1" applyFill="1" applyBorder="1" applyAlignment="1">
      <alignment horizontal="center"/>
    </xf>
    <xf numFmtId="165" fontId="1" fillId="36" borderId="22" xfId="0" applyNumberFormat="1" applyFont="1" applyFill="1" applyBorder="1" applyAlignment="1">
      <alignment horizontal="center"/>
    </xf>
    <xf numFmtId="165" fontId="1" fillId="33" borderId="32" xfId="0" applyNumberFormat="1" applyFont="1" applyFill="1" applyBorder="1" applyAlignment="1">
      <alignment horizontal="center"/>
    </xf>
    <xf numFmtId="165" fontId="1" fillId="34" borderId="32" xfId="0" applyNumberFormat="1" applyFont="1" applyFill="1" applyBorder="1" applyAlignment="1">
      <alignment horizontal="center"/>
    </xf>
    <xf numFmtId="165" fontId="1" fillId="35" borderId="14" xfId="0" applyNumberFormat="1" applyFont="1" applyFill="1" applyBorder="1" applyAlignment="1">
      <alignment horizontal="center"/>
    </xf>
    <xf numFmtId="165" fontId="1" fillId="33" borderId="10" xfId="42" applyNumberFormat="1" applyFont="1" applyFill="1" applyBorder="1" applyAlignment="1">
      <alignment horizontal="center"/>
    </xf>
    <xf numFmtId="1" fontId="1" fillId="33" borderId="24" xfId="0" applyNumberFormat="1" applyFont="1" applyFill="1" applyBorder="1" applyAlignment="1">
      <alignment horizontal="center"/>
    </xf>
    <xf numFmtId="167" fontId="1" fillId="33" borderId="35" xfId="0" applyNumberFormat="1" applyFont="1" applyFill="1" applyBorder="1" applyAlignment="1">
      <alignment horizontal="center"/>
    </xf>
    <xf numFmtId="167" fontId="1" fillId="33" borderId="27" xfId="0" applyNumberFormat="1" applyFont="1" applyFill="1" applyBorder="1" applyAlignment="1">
      <alignment horizontal="center"/>
    </xf>
    <xf numFmtId="165" fontId="2" fillId="33" borderId="10" xfId="0" applyNumberFormat="1" applyFont="1" applyFill="1" applyBorder="1" applyAlignment="1">
      <alignment horizontal="center" vertical="center" wrapText="1"/>
    </xf>
    <xf numFmtId="165" fontId="2" fillId="33" borderId="22" xfId="0" applyNumberFormat="1" applyFont="1" applyFill="1" applyBorder="1" applyAlignment="1">
      <alignment horizontal="center" vertical="center" wrapText="1"/>
    </xf>
    <xf numFmtId="1" fontId="2" fillId="33" borderId="10" xfId="0" applyNumberFormat="1" applyFont="1" applyFill="1" applyBorder="1" applyAlignment="1">
      <alignment horizontal="center" vertical="center" wrapText="1"/>
    </xf>
    <xf numFmtId="167" fontId="2" fillId="33" borderId="10" xfId="0" applyNumberFormat="1" applyFont="1" applyFill="1" applyBorder="1" applyAlignment="1">
      <alignment horizontal="center" vertical="center" wrapText="1"/>
    </xf>
    <xf numFmtId="1" fontId="1" fillId="34" borderId="14" xfId="0" applyNumberFormat="1" applyFont="1" applyFill="1" applyBorder="1" applyAlignment="1" applyProtection="1">
      <alignment horizontal="center"/>
      <protection locked="0"/>
    </xf>
    <xf numFmtId="165" fontId="1" fillId="34" borderId="14" xfId="0" applyNumberFormat="1" applyFont="1" applyFill="1" applyBorder="1" applyAlignment="1" applyProtection="1">
      <alignment horizontal="center"/>
      <protection locked="0"/>
    </xf>
    <xf numFmtId="1" fontId="2" fillId="33" borderId="22" xfId="0" applyNumberFormat="1" applyFont="1" applyFill="1" applyBorder="1" applyAlignment="1">
      <alignment horizontal="center" vertical="center" wrapText="1"/>
    </xf>
    <xf numFmtId="167" fontId="2" fillId="33" borderId="22" xfId="0" applyNumberFormat="1" applyFont="1" applyFill="1" applyBorder="1" applyAlignment="1">
      <alignment horizontal="center" vertical="center" wrapText="1"/>
    </xf>
    <xf numFmtId="165" fontId="1" fillId="36" borderId="10" xfId="0" applyNumberFormat="1" applyFont="1" applyFill="1" applyBorder="1" applyAlignment="1" applyProtection="1">
      <alignment horizontal="center"/>
      <protection locked="0"/>
    </xf>
    <xf numFmtId="0" fontId="1" fillId="33" borderId="21" xfId="0" applyFont="1" applyFill="1" applyBorder="1" applyAlignment="1">
      <alignment/>
    </xf>
    <xf numFmtId="0" fontId="1" fillId="36" borderId="22" xfId="0" applyFont="1" applyFill="1" applyBorder="1" applyAlignment="1" applyProtection="1">
      <alignment horizontal="center"/>
      <protection locked="0"/>
    </xf>
    <xf numFmtId="2" fontId="1" fillId="36" borderId="22" xfId="0" applyNumberFormat="1" applyFont="1" applyFill="1" applyBorder="1" applyAlignment="1" applyProtection="1">
      <alignment horizontal="center"/>
      <protection/>
    </xf>
    <xf numFmtId="167" fontId="1" fillId="35" borderId="10" xfId="0" applyNumberFormat="1" applyFont="1" applyFill="1" applyBorder="1" applyAlignment="1" applyProtection="1">
      <alignment/>
      <protection/>
    </xf>
    <xf numFmtId="2" fontId="1" fillId="35" borderId="10" xfId="0" applyNumberFormat="1" applyFont="1" applyFill="1" applyBorder="1" applyAlignment="1" applyProtection="1">
      <alignment/>
      <protection locked="0"/>
    </xf>
    <xf numFmtId="2" fontId="1" fillId="35" borderId="10" xfId="0" applyNumberFormat="1" applyFont="1" applyFill="1" applyBorder="1" applyAlignment="1" applyProtection="1">
      <alignment horizontal="left" indent="3"/>
      <protection/>
    </xf>
    <xf numFmtId="2" fontId="1" fillId="35" borderId="25" xfId="0" applyNumberFormat="1" applyFont="1" applyFill="1" applyBorder="1" applyAlignment="1" applyProtection="1">
      <alignment horizontal="left" indent="3"/>
      <protection/>
    </xf>
    <xf numFmtId="0" fontId="1" fillId="33" borderId="10" xfId="0" applyFont="1" applyFill="1" applyBorder="1" applyAlignment="1" applyProtection="1">
      <alignment/>
      <protection locked="0"/>
    </xf>
    <xf numFmtId="0" fontId="1" fillId="33" borderId="11" xfId="0" applyFont="1" applyFill="1" applyBorder="1" applyAlignment="1" applyProtection="1">
      <alignment/>
      <protection locked="0"/>
    </xf>
    <xf numFmtId="0" fontId="1" fillId="33" borderId="22" xfId="0" applyFont="1" applyFill="1" applyBorder="1" applyAlignment="1" applyProtection="1">
      <alignment/>
      <protection locked="0"/>
    </xf>
    <xf numFmtId="165" fontId="1" fillId="36" borderId="22" xfId="0" applyNumberFormat="1" applyFont="1" applyFill="1" applyBorder="1" applyAlignment="1" applyProtection="1">
      <alignment horizontal="center"/>
      <protection locked="0"/>
    </xf>
    <xf numFmtId="2" fontId="1" fillId="36" borderId="26" xfId="0" applyNumberFormat="1" applyFont="1" applyFill="1" applyBorder="1" applyAlignment="1" applyProtection="1">
      <alignment horizontal="center"/>
      <protection/>
    </xf>
    <xf numFmtId="0" fontId="1" fillId="35" borderId="44" xfId="0" applyFont="1" applyFill="1" applyBorder="1" applyAlignment="1" applyProtection="1">
      <alignment horizontal="center"/>
      <protection locked="0"/>
    </xf>
    <xf numFmtId="0" fontId="1" fillId="35" borderId="10" xfId="0" applyFont="1" applyFill="1" applyBorder="1" applyAlignment="1" applyProtection="1">
      <alignment/>
      <protection locked="0"/>
    </xf>
    <xf numFmtId="165" fontId="1" fillId="35" borderId="31" xfId="0" applyNumberFormat="1" applyFont="1" applyFill="1" applyBorder="1" applyAlignment="1" applyProtection="1">
      <alignment horizontal="center"/>
      <protection locked="0"/>
    </xf>
    <xf numFmtId="165" fontId="1" fillId="35" borderId="24" xfId="0" applyNumberFormat="1" applyFont="1" applyFill="1" applyBorder="1" applyAlignment="1" applyProtection="1">
      <alignment horizontal="center"/>
      <protection locked="0"/>
    </xf>
    <xf numFmtId="0" fontId="1" fillId="35" borderId="28" xfId="0" applyFont="1" applyFill="1" applyBorder="1" applyAlignment="1" applyProtection="1">
      <alignment/>
      <protection locked="0"/>
    </xf>
    <xf numFmtId="0" fontId="1" fillId="35" borderId="22" xfId="0" applyFont="1" applyFill="1" applyBorder="1" applyAlignment="1" applyProtection="1">
      <alignment/>
      <protection locked="0"/>
    </xf>
    <xf numFmtId="167" fontId="1" fillId="36" borderId="22" xfId="0" applyNumberFormat="1" applyFont="1" applyFill="1" applyBorder="1" applyAlignment="1" applyProtection="1">
      <alignment horizontal="center"/>
      <protection/>
    </xf>
    <xf numFmtId="2" fontId="1" fillId="35" borderId="28" xfId="0" applyNumberFormat="1" applyFont="1" applyFill="1" applyBorder="1" applyAlignment="1" applyProtection="1">
      <alignment horizontal="left" indent="3"/>
      <protection/>
    </xf>
    <xf numFmtId="166" fontId="1" fillId="35" borderId="10" xfId="0" applyNumberFormat="1" applyFont="1" applyFill="1" applyBorder="1" applyAlignment="1" applyProtection="1">
      <alignment/>
      <protection locked="0"/>
    </xf>
    <xf numFmtId="0" fontId="1" fillId="0" borderId="0" xfId="0" applyFont="1" applyFill="1" applyBorder="1" applyAlignment="1">
      <alignment horizontal="center" vertical="center" textRotation="90" wrapText="1"/>
    </xf>
    <xf numFmtId="0" fontId="1" fillId="0" borderId="0" xfId="0" applyFont="1" applyFill="1" applyBorder="1" applyAlignment="1">
      <alignment horizontal="center"/>
    </xf>
    <xf numFmtId="0" fontId="3" fillId="0" borderId="0" xfId="0" applyFont="1" applyFill="1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165" fontId="1" fillId="0" borderId="0" xfId="0" applyNumberFormat="1" applyFont="1" applyFill="1" applyBorder="1" applyAlignment="1" applyProtection="1">
      <alignment horizontal="center"/>
      <protection locked="0"/>
    </xf>
    <xf numFmtId="1" fontId="1" fillId="0" borderId="0" xfId="0" applyNumberFormat="1" applyFont="1" applyFill="1" applyBorder="1" applyAlignment="1" applyProtection="1">
      <alignment horizontal="center"/>
      <protection locked="0"/>
    </xf>
    <xf numFmtId="167" fontId="1" fillId="0" borderId="0" xfId="0" applyNumberFormat="1" applyFont="1" applyFill="1" applyBorder="1" applyAlignment="1" applyProtection="1">
      <alignment horizontal="center"/>
      <protection locked="0"/>
    </xf>
    <xf numFmtId="167" fontId="1" fillId="0" borderId="0" xfId="0" applyNumberFormat="1" applyFont="1" applyFill="1" applyBorder="1" applyAlignment="1" applyProtection="1">
      <alignment horizontal="center"/>
      <protection/>
    </xf>
    <xf numFmtId="2" fontId="1" fillId="0" borderId="0" xfId="0" applyNumberFormat="1" applyFont="1" applyFill="1" applyBorder="1" applyAlignment="1" applyProtection="1">
      <alignment horizontal="center"/>
      <protection locked="0"/>
    </xf>
    <xf numFmtId="2" fontId="1" fillId="0" borderId="0" xfId="0" applyNumberFormat="1" applyFont="1" applyFill="1" applyBorder="1" applyAlignment="1" applyProtection="1">
      <alignment horizontal="center"/>
      <protection/>
    </xf>
    <xf numFmtId="166" fontId="1" fillId="33" borderId="28" xfId="0" applyNumberFormat="1" applyFont="1" applyFill="1" applyBorder="1" applyAlignment="1" applyProtection="1">
      <alignment horizontal="center"/>
      <protection locked="0"/>
    </xf>
    <xf numFmtId="166" fontId="1" fillId="35" borderId="28" xfId="0" applyNumberFormat="1" applyFont="1" applyFill="1" applyBorder="1" applyAlignment="1" applyProtection="1">
      <alignment horizontal="center"/>
      <protection locked="0"/>
    </xf>
    <xf numFmtId="1" fontId="1" fillId="35" borderId="14" xfId="0" applyNumberFormat="1" applyFont="1" applyFill="1" applyBorder="1" applyAlignment="1" applyProtection="1">
      <alignment horizontal="center"/>
      <protection locked="0"/>
    </xf>
    <xf numFmtId="1" fontId="1" fillId="35" borderId="44" xfId="0" applyNumberFormat="1" applyFont="1" applyFill="1" applyBorder="1" applyAlignment="1" applyProtection="1">
      <alignment horizontal="center"/>
      <protection locked="0"/>
    </xf>
    <xf numFmtId="1" fontId="1" fillId="33" borderId="28" xfId="0" applyNumberFormat="1" applyFont="1" applyFill="1" applyBorder="1" applyAlignment="1">
      <alignment horizontal="center"/>
    </xf>
    <xf numFmtId="2" fontId="1" fillId="34" borderId="12" xfId="0" applyNumberFormat="1" applyFont="1" applyFill="1" applyBorder="1" applyAlignment="1">
      <alignment horizontal="center"/>
    </xf>
    <xf numFmtId="2" fontId="1" fillId="35" borderId="23" xfId="0" applyNumberFormat="1" applyFont="1" applyFill="1" applyBorder="1" applyAlignment="1">
      <alignment horizontal="center"/>
    </xf>
    <xf numFmtId="2" fontId="1" fillId="35" borderId="12" xfId="0" applyNumberFormat="1" applyFont="1" applyFill="1" applyBorder="1" applyAlignment="1">
      <alignment horizontal="center"/>
    </xf>
    <xf numFmtId="1" fontId="1" fillId="35" borderId="11" xfId="0" applyNumberFormat="1" applyFont="1" applyFill="1" applyBorder="1" applyAlignment="1">
      <alignment horizontal="center"/>
    </xf>
    <xf numFmtId="167" fontId="1" fillId="35" borderId="11" xfId="0" applyNumberFormat="1" applyFont="1" applyFill="1" applyBorder="1" applyAlignment="1">
      <alignment horizontal="center"/>
    </xf>
    <xf numFmtId="2" fontId="1" fillId="36" borderId="28" xfId="0" applyNumberFormat="1" applyFont="1" applyFill="1" applyBorder="1" applyAlignment="1">
      <alignment horizontal="center"/>
    </xf>
    <xf numFmtId="167" fontId="1" fillId="34" borderId="35" xfId="0" applyNumberFormat="1" applyFont="1" applyFill="1" applyBorder="1" applyAlignment="1">
      <alignment horizontal="center"/>
    </xf>
    <xf numFmtId="167" fontId="1" fillId="35" borderId="35" xfId="0" applyNumberFormat="1" applyFont="1" applyFill="1" applyBorder="1" applyAlignment="1">
      <alignment horizontal="center"/>
    </xf>
    <xf numFmtId="0" fontId="1" fillId="34" borderId="25" xfId="0" applyFont="1" applyFill="1" applyBorder="1" applyAlignment="1">
      <alignment horizontal="center"/>
    </xf>
    <xf numFmtId="2" fontId="1" fillId="34" borderId="49" xfId="0" applyNumberFormat="1" applyFont="1" applyFill="1" applyBorder="1" applyAlignment="1">
      <alignment horizontal="center"/>
    </xf>
    <xf numFmtId="2" fontId="2" fillId="33" borderId="10" xfId="0" applyNumberFormat="1" applyFont="1" applyFill="1" applyBorder="1" applyAlignment="1">
      <alignment horizontal="center" vertical="center" wrapText="1"/>
    </xf>
    <xf numFmtId="2" fontId="2" fillId="33" borderId="22" xfId="0" applyNumberFormat="1" applyFont="1" applyFill="1" applyBorder="1" applyAlignment="1">
      <alignment horizontal="center" vertical="center" wrapText="1"/>
    </xf>
    <xf numFmtId="1" fontId="1" fillId="35" borderId="10" xfId="0" applyNumberFormat="1" applyFont="1" applyFill="1" applyBorder="1" applyAlignment="1" applyProtection="1">
      <alignment/>
      <protection locked="0"/>
    </xf>
    <xf numFmtId="0" fontId="1" fillId="35" borderId="32" xfId="0" applyFont="1" applyFill="1" applyBorder="1" applyAlignment="1" applyProtection="1">
      <alignment horizontal="center"/>
      <protection locked="0"/>
    </xf>
    <xf numFmtId="0" fontId="1" fillId="35" borderId="14" xfId="0" applyFont="1" applyFill="1" applyBorder="1" applyAlignment="1" applyProtection="1">
      <alignment horizontal="center"/>
      <protection locked="0"/>
    </xf>
    <xf numFmtId="0" fontId="1" fillId="34" borderId="50" xfId="0" applyFont="1" applyFill="1" applyBorder="1" applyAlignment="1">
      <alignment/>
    </xf>
    <xf numFmtId="0" fontId="1" fillId="35" borderId="50" xfId="0" applyFont="1" applyFill="1" applyBorder="1" applyAlignment="1">
      <alignment/>
    </xf>
    <xf numFmtId="167" fontId="1" fillId="34" borderId="24" xfId="0" applyNumberFormat="1" applyFont="1" applyFill="1" applyBorder="1" applyAlignment="1">
      <alignment horizontal="center"/>
    </xf>
    <xf numFmtId="165" fontId="1" fillId="34" borderId="32" xfId="0" applyNumberFormat="1" applyFont="1" applyFill="1" applyBorder="1" applyAlignment="1" applyProtection="1">
      <alignment horizontal="center"/>
      <protection locked="0"/>
    </xf>
    <xf numFmtId="0" fontId="1" fillId="33" borderId="11" xfId="0" applyFont="1" applyFill="1" applyBorder="1" applyAlignment="1">
      <alignment horizontal="center" vertical="center"/>
    </xf>
    <xf numFmtId="2" fontId="1" fillId="33" borderId="28" xfId="0" applyNumberFormat="1" applyFont="1" applyFill="1" applyBorder="1" applyAlignment="1" applyProtection="1">
      <alignment horizontal="center"/>
      <protection/>
    </xf>
    <xf numFmtId="2" fontId="1" fillId="36" borderId="37" xfId="0" applyNumberFormat="1" applyFont="1" applyFill="1" applyBorder="1" applyAlignment="1">
      <alignment horizontal="center"/>
    </xf>
    <xf numFmtId="2" fontId="0" fillId="0" borderId="0" xfId="0" applyNumberFormat="1" applyFont="1" applyAlignment="1">
      <alignment/>
    </xf>
    <xf numFmtId="0" fontId="1" fillId="34" borderId="21" xfId="0" applyFont="1" applyFill="1" applyBorder="1" applyAlignment="1" applyProtection="1">
      <alignment/>
      <protection locked="0"/>
    </xf>
    <xf numFmtId="0" fontId="1" fillId="34" borderId="10" xfId="0" applyFont="1" applyFill="1" applyBorder="1" applyAlignment="1" applyProtection="1">
      <alignment/>
      <protection locked="0"/>
    </xf>
    <xf numFmtId="0" fontId="1" fillId="34" borderId="22" xfId="0" applyFont="1" applyFill="1" applyBorder="1" applyAlignment="1" applyProtection="1">
      <alignment/>
      <protection locked="0"/>
    </xf>
    <xf numFmtId="0" fontId="1" fillId="37" borderId="10" xfId="0" applyFont="1" applyFill="1" applyBorder="1" applyAlignment="1">
      <alignment/>
    </xf>
    <xf numFmtId="0" fontId="1" fillId="37" borderId="10" xfId="0" applyFont="1" applyFill="1" applyBorder="1" applyAlignment="1">
      <alignment horizontal="center"/>
    </xf>
    <xf numFmtId="0" fontId="1" fillId="33" borderId="21" xfId="0" applyFont="1" applyFill="1" applyBorder="1" applyAlignment="1" applyProtection="1">
      <alignment/>
      <protection locked="0"/>
    </xf>
    <xf numFmtId="2" fontId="1" fillId="35" borderId="22" xfId="0" applyNumberFormat="1" applyFont="1" applyFill="1" applyBorder="1" applyAlignment="1" applyProtection="1">
      <alignment horizontal="left" indent="3"/>
      <protection/>
    </xf>
    <xf numFmtId="2" fontId="1" fillId="34" borderId="10" xfId="0" applyNumberFormat="1" applyFont="1" applyFill="1" applyBorder="1" applyAlignment="1" applyProtection="1">
      <alignment horizontal="left" indent="3"/>
      <protection/>
    </xf>
    <xf numFmtId="2" fontId="1" fillId="34" borderId="22" xfId="0" applyNumberFormat="1" applyFont="1" applyFill="1" applyBorder="1" applyAlignment="1" applyProtection="1">
      <alignment horizontal="left" indent="3"/>
      <protection/>
    </xf>
    <xf numFmtId="0" fontId="1" fillId="35" borderId="31" xfId="0" applyFont="1" applyFill="1" applyBorder="1" applyAlignment="1" applyProtection="1">
      <alignment horizontal="center"/>
      <protection locked="0"/>
    </xf>
    <xf numFmtId="0" fontId="1" fillId="35" borderId="27" xfId="0" applyFont="1" applyFill="1" applyBorder="1" applyAlignment="1">
      <alignment/>
    </xf>
    <xf numFmtId="2" fontId="1" fillId="35" borderId="35" xfId="0" applyNumberFormat="1" applyFont="1" applyFill="1" applyBorder="1" applyAlignment="1">
      <alignment horizontal="center"/>
    </xf>
    <xf numFmtId="2" fontId="1" fillId="33" borderId="35" xfId="0" applyNumberFormat="1" applyFont="1" applyFill="1" applyBorder="1" applyAlignment="1" applyProtection="1">
      <alignment horizontal="left" indent="3"/>
      <protection/>
    </xf>
    <xf numFmtId="2" fontId="1" fillId="34" borderId="28" xfId="0" applyNumberFormat="1" applyFont="1" applyFill="1" applyBorder="1" applyAlignment="1" applyProtection="1">
      <alignment horizontal="left" indent="3"/>
      <protection/>
    </xf>
    <xf numFmtId="2" fontId="1" fillId="33" borderId="10" xfId="0" applyNumberFormat="1" applyFont="1" applyFill="1" applyBorder="1" applyAlignment="1" applyProtection="1">
      <alignment horizontal="left" indent="3"/>
      <protection/>
    </xf>
    <xf numFmtId="0" fontId="1" fillId="33" borderId="22" xfId="0" applyFont="1" applyFill="1" applyBorder="1" applyAlignment="1" applyProtection="1">
      <alignment horizontal="center"/>
      <protection locked="0"/>
    </xf>
    <xf numFmtId="2" fontId="1" fillId="34" borderId="11" xfId="0" applyNumberFormat="1" applyFont="1" applyFill="1" applyBorder="1" applyAlignment="1" applyProtection="1">
      <alignment horizontal="center"/>
      <protection/>
    </xf>
    <xf numFmtId="0" fontId="1" fillId="34" borderId="51" xfId="0" applyFont="1" applyFill="1" applyBorder="1" applyAlignment="1" applyProtection="1">
      <alignment/>
      <protection locked="0"/>
    </xf>
    <xf numFmtId="0" fontId="3" fillId="34" borderId="22" xfId="0" applyFont="1" applyFill="1" applyBorder="1" applyAlignment="1" applyProtection="1">
      <alignment/>
      <protection locked="0"/>
    </xf>
    <xf numFmtId="0" fontId="1" fillId="34" borderId="52" xfId="0" applyFont="1" applyFill="1" applyBorder="1" applyAlignment="1" applyProtection="1">
      <alignment/>
      <protection locked="0"/>
    </xf>
    <xf numFmtId="0" fontId="1" fillId="35" borderId="51" xfId="0" applyFont="1" applyFill="1" applyBorder="1" applyAlignment="1" applyProtection="1">
      <alignment/>
      <protection locked="0"/>
    </xf>
    <xf numFmtId="0" fontId="1" fillId="33" borderId="53" xfId="0" applyFont="1" applyFill="1" applyBorder="1" applyAlignment="1" applyProtection="1">
      <alignment/>
      <protection locked="0"/>
    </xf>
    <xf numFmtId="0" fontId="1" fillId="33" borderId="51" xfId="0" applyFont="1" applyFill="1" applyBorder="1" applyAlignment="1" applyProtection="1">
      <alignment/>
      <protection locked="0"/>
    </xf>
    <xf numFmtId="0" fontId="1" fillId="33" borderId="52" xfId="0" applyFont="1" applyFill="1" applyBorder="1" applyAlignment="1" applyProtection="1">
      <alignment/>
      <protection locked="0"/>
    </xf>
    <xf numFmtId="2" fontId="1" fillId="33" borderId="27" xfId="0" applyNumberFormat="1" applyFont="1" applyFill="1" applyBorder="1" applyAlignment="1" applyProtection="1">
      <alignment horizontal="left" indent="3"/>
      <protection/>
    </xf>
    <xf numFmtId="0" fontId="1" fillId="34" borderId="53" xfId="0" applyFont="1" applyFill="1" applyBorder="1" applyAlignment="1" applyProtection="1">
      <alignment/>
      <protection locked="0"/>
    </xf>
    <xf numFmtId="0" fontId="1" fillId="35" borderId="53" xfId="0" applyFont="1" applyFill="1" applyBorder="1" applyAlignment="1" applyProtection="1">
      <alignment/>
      <protection locked="0"/>
    </xf>
    <xf numFmtId="0" fontId="3" fillId="35" borderId="51" xfId="0" applyFont="1" applyFill="1" applyBorder="1" applyAlignment="1" applyProtection="1">
      <alignment/>
      <protection locked="0"/>
    </xf>
    <xf numFmtId="0" fontId="3" fillId="35" borderId="52" xfId="0" applyFont="1" applyFill="1" applyBorder="1" applyAlignment="1" applyProtection="1">
      <alignment/>
      <protection locked="0"/>
    </xf>
    <xf numFmtId="0" fontId="1" fillId="33" borderId="34" xfId="0" applyFont="1" applyFill="1" applyBorder="1" applyAlignment="1" applyProtection="1">
      <alignment horizontal="center"/>
      <protection locked="0"/>
    </xf>
    <xf numFmtId="0" fontId="1" fillId="33" borderId="31" xfId="0" applyFont="1" applyFill="1" applyBorder="1" applyAlignment="1" applyProtection="1">
      <alignment horizontal="center"/>
      <protection locked="0"/>
    </xf>
    <xf numFmtId="0" fontId="1" fillId="34" borderId="31" xfId="0" applyFont="1" applyFill="1" applyBorder="1" applyAlignment="1" applyProtection="1">
      <alignment horizontal="center"/>
      <protection locked="0"/>
    </xf>
    <xf numFmtId="0" fontId="1" fillId="34" borderId="34" xfId="0" applyFont="1" applyFill="1" applyBorder="1" applyAlignment="1" applyProtection="1">
      <alignment horizontal="center"/>
      <protection locked="0"/>
    </xf>
    <xf numFmtId="0" fontId="1" fillId="35" borderId="34" xfId="0" applyFont="1" applyFill="1" applyBorder="1" applyAlignment="1" applyProtection="1">
      <alignment horizontal="center"/>
      <protection locked="0"/>
    </xf>
    <xf numFmtId="2" fontId="1" fillId="34" borderId="28" xfId="0" applyNumberFormat="1" applyFont="1" applyFill="1" applyBorder="1" applyAlignment="1">
      <alignment/>
    </xf>
    <xf numFmtId="167" fontId="1" fillId="34" borderId="28" xfId="0" applyNumberFormat="1" applyFont="1" applyFill="1" applyBorder="1" applyAlignment="1">
      <alignment/>
    </xf>
    <xf numFmtId="2" fontId="1" fillId="33" borderId="21" xfId="0" applyNumberFormat="1" applyFont="1" applyFill="1" applyBorder="1" applyAlignment="1">
      <alignment horizontal="center"/>
    </xf>
    <xf numFmtId="2" fontId="1" fillId="33" borderId="11" xfId="0" applyNumberFormat="1" applyFont="1" applyFill="1" applyBorder="1" applyAlignment="1">
      <alignment horizontal="center"/>
    </xf>
    <xf numFmtId="0" fontId="1" fillId="35" borderId="11" xfId="0" applyFont="1" applyFill="1" applyBorder="1" applyAlignment="1" applyProtection="1">
      <alignment/>
      <protection locked="0"/>
    </xf>
    <xf numFmtId="0" fontId="3" fillId="35" borderId="14" xfId="0" applyFont="1" applyFill="1" applyBorder="1" applyAlignment="1" applyProtection="1">
      <alignment/>
      <protection locked="0"/>
    </xf>
    <xf numFmtId="0" fontId="1" fillId="35" borderId="14" xfId="0" applyFont="1" applyFill="1" applyBorder="1" applyAlignment="1" applyProtection="1">
      <alignment/>
      <protection locked="0"/>
    </xf>
    <xf numFmtId="0" fontId="1" fillId="34" borderId="44" xfId="0" applyFont="1" applyFill="1" applyBorder="1" applyAlignment="1" applyProtection="1">
      <alignment/>
      <protection locked="0"/>
    </xf>
    <xf numFmtId="0" fontId="1" fillId="34" borderId="11" xfId="0" applyFont="1" applyFill="1" applyBorder="1" applyAlignment="1" applyProtection="1">
      <alignment horizontal="center"/>
      <protection locked="0"/>
    </xf>
    <xf numFmtId="165" fontId="1" fillId="34" borderId="11" xfId="0" applyNumberFormat="1" applyFont="1" applyFill="1" applyBorder="1" applyAlignment="1" applyProtection="1">
      <alignment horizontal="center"/>
      <protection locked="0"/>
    </xf>
    <xf numFmtId="165" fontId="1" fillId="33" borderId="35" xfId="0" applyNumberFormat="1" applyFont="1" applyFill="1" applyBorder="1" applyAlignment="1" applyProtection="1">
      <alignment horizontal="center"/>
      <protection/>
    </xf>
    <xf numFmtId="165" fontId="1" fillId="36" borderId="28" xfId="0" applyNumberFormat="1" applyFont="1" applyFill="1" applyBorder="1" applyAlignment="1" applyProtection="1">
      <alignment horizontal="center"/>
      <protection locked="0"/>
    </xf>
    <xf numFmtId="165" fontId="1" fillId="35" borderId="10" xfId="0" applyNumberFormat="1" applyFont="1" applyFill="1" applyBorder="1" applyAlignment="1" applyProtection="1">
      <alignment/>
      <protection locked="0"/>
    </xf>
    <xf numFmtId="0" fontId="1" fillId="36" borderId="28" xfId="0" applyFont="1" applyFill="1" applyBorder="1" applyAlignment="1">
      <alignment/>
    </xf>
    <xf numFmtId="0" fontId="1" fillId="36" borderId="11" xfId="0" applyFont="1" applyFill="1" applyBorder="1" applyAlignment="1">
      <alignment/>
    </xf>
    <xf numFmtId="0" fontId="1" fillId="36" borderId="11" xfId="0" applyFont="1" applyFill="1" applyBorder="1" applyAlignment="1" applyProtection="1">
      <alignment horizontal="center"/>
      <protection locked="0"/>
    </xf>
    <xf numFmtId="0" fontId="1" fillId="34" borderId="21" xfId="55" applyFont="1" applyFill="1" applyBorder="1">
      <alignment/>
      <protection/>
    </xf>
    <xf numFmtId="0" fontId="1" fillId="34" borderId="10" xfId="55" applyFont="1" applyFill="1" applyBorder="1">
      <alignment/>
      <protection/>
    </xf>
    <xf numFmtId="0" fontId="1" fillId="34" borderId="22" xfId="55" applyFont="1" applyFill="1" applyBorder="1">
      <alignment/>
      <protection/>
    </xf>
    <xf numFmtId="0" fontId="1" fillId="35" borderId="28" xfId="55" applyFont="1" applyFill="1" applyBorder="1">
      <alignment/>
      <protection/>
    </xf>
    <xf numFmtId="0" fontId="1" fillId="35" borderId="10" xfId="55" applyFont="1" applyFill="1" applyBorder="1">
      <alignment/>
      <protection/>
    </xf>
    <xf numFmtId="2" fontId="1" fillId="36" borderId="11" xfId="0" applyNumberFormat="1" applyFont="1" applyFill="1" applyBorder="1" applyAlignment="1" applyProtection="1">
      <alignment horizontal="center"/>
      <protection/>
    </xf>
    <xf numFmtId="167" fontId="1" fillId="35" borderId="28" xfId="0" applyNumberFormat="1" applyFont="1" applyFill="1" applyBorder="1" applyAlignment="1">
      <alignment horizontal="center"/>
    </xf>
    <xf numFmtId="2" fontId="1" fillId="34" borderId="12" xfId="0" applyNumberFormat="1" applyFont="1" applyFill="1" applyBorder="1" applyAlignment="1" applyProtection="1">
      <alignment horizontal="center"/>
      <protection/>
    </xf>
    <xf numFmtId="0" fontId="1" fillId="35" borderId="44" xfId="0" applyFont="1" applyFill="1" applyBorder="1" applyAlignment="1" applyProtection="1">
      <alignment/>
      <protection locked="0"/>
    </xf>
    <xf numFmtId="0" fontId="1" fillId="35" borderId="21" xfId="62" applyFont="1" applyFill="1" applyBorder="1" applyAlignment="1">
      <alignment horizontal="center"/>
      <protection/>
    </xf>
    <xf numFmtId="0" fontId="1" fillId="35" borderId="10" xfId="62" applyFont="1" applyFill="1" applyBorder="1" applyAlignment="1">
      <alignment horizontal="center"/>
      <protection/>
    </xf>
    <xf numFmtId="0" fontId="1" fillId="35" borderId="0" xfId="0" applyFont="1" applyFill="1" applyBorder="1" applyAlignment="1">
      <alignment horizontal="center"/>
    </xf>
    <xf numFmtId="0" fontId="1" fillId="34" borderId="21" xfId="62" applyFont="1" applyFill="1" applyBorder="1" applyAlignment="1">
      <alignment horizontal="center"/>
      <protection/>
    </xf>
    <xf numFmtId="2" fontId="1" fillId="34" borderId="54" xfId="62" applyNumberFormat="1" applyFont="1" applyFill="1" applyBorder="1" applyAlignment="1">
      <alignment horizontal="center"/>
      <protection/>
    </xf>
    <xf numFmtId="0" fontId="1" fillId="34" borderId="10" xfId="62" applyFont="1" applyFill="1" applyBorder="1" applyAlignment="1">
      <alignment horizontal="center"/>
      <protection/>
    </xf>
    <xf numFmtId="2" fontId="1" fillId="34" borderId="10" xfId="62" applyNumberFormat="1" applyFont="1" applyFill="1" applyBorder="1" applyAlignment="1">
      <alignment horizontal="center"/>
      <protection/>
    </xf>
    <xf numFmtId="167" fontId="1" fillId="33" borderId="21" xfId="0" applyNumberFormat="1" applyFont="1" applyFill="1" applyBorder="1" applyAlignment="1">
      <alignment horizontal="center"/>
    </xf>
    <xf numFmtId="167" fontId="1" fillId="37" borderId="10" xfId="0" applyNumberFormat="1" applyFont="1" applyFill="1" applyBorder="1" applyAlignment="1">
      <alignment horizontal="center"/>
    </xf>
    <xf numFmtId="2" fontId="1" fillId="37" borderId="10" xfId="0" applyNumberFormat="1" applyFont="1" applyFill="1" applyBorder="1" applyAlignment="1">
      <alignment horizontal="center"/>
    </xf>
    <xf numFmtId="2" fontId="1" fillId="37" borderId="25" xfId="0" applyNumberFormat="1" applyFont="1" applyFill="1" applyBorder="1" applyAlignment="1">
      <alignment horizontal="center"/>
    </xf>
    <xf numFmtId="165" fontId="1" fillId="37" borderId="10" xfId="0" applyNumberFormat="1" applyFont="1" applyFill="1" applyBorder="1" applyAlignment="1">
      <alignment horizontal="center"/>
    </xf>
    <xf numFmtId="1" fontId="1" fillId="37" borderId="10" xfId="0" applyNumberFormat="1" applyFont="1" applyFill="1" applyBorder="1" applyAlignment="1">
      <alignment horizontal="center"/>
    </xf>
    <xf numFmtId="2" fontId="1" fillId="33" borderId="14" xfId="0" applyNumberFormat="1" applyFont="1" applyFill="1" applyBorder="1" applyAlignment="1" applyProtection="1">
      <alignment horizontal="center"/>
      <protection locked="0"/>
    </xf>
    <xf numFmtId="2" fontId="1" fillId="35" borderId="14" xfId="0" applyNumberFormat="1" applyFont="1" applyFill="1" applyBorder="1" applyAlignment="1" applyProtection="1">
      <alignment horizontal="center"/>
      <protection locked="0"/>
    </xf>
    <xf numFmtId="165" fontId="1" fillId="33" borderId="14" xfId="0" applyNumberFormat="1" applyFont="1" applyFill="1" applyBorder="1" applyAlignment="1" applyProtection="1">
      <alignment horizontal="center"/>
      <protection locked="0"/>
    </xf>
    <xf numFmtId="166" fontId="1" fillId="35" borderId="21" xfId="0" applyNumberFormat="1" applyFont="1" applyFill="1" applyBorder="1" applyAlignment="1" applyProtection="1">
      <alignment horizontal="center"/>
      <protection locked="0"/>
    </xf>
    <xf numFmtId="1" fontId="1" fillId="33" borderId="21" xfId="0" applyNumberFormat="1" applyFont="1" applyFill="1" applyBorder="1" applyAlignment="1" applyProtection="1">
      <alignment horizontal="center"/>
      <protection locked="0"/>
    </xf>
    <xf numFmtId="1" fontId="1" fillId="33" borderId="14" xfId="0" applyNumberFormat="1" applyFont="1" applyFill="1" applyBorder="1" applyAlignment="1" applyProtection="1">
      <alignment horizontal="center"/>
      <protection locked="0"/>
    </xf>
    <xf numFmtId="0" fontId="9" fillId="33" borderId="10" xfId="58" applyFont="1" applyFill="1" applyBorder="1" applyAlignment="1">
      <alignment horizontal="left" vertical="top" wrapText="1"/>
      <protection/>
    </xf>
    <xf numFmtId="3" fontId="9" fillId="33" borderId="10" xfId="58" applyNumberFormat="1" applyFont="1" applyFill="1" applyBorder="1" applyAlignment="1">
      <alignment horizontal="center" vertical="top" wrapText="1"/>
      <protection/>
    </xf>
    <xf numFmtId="0" fontId="9" fillId="34" borderId="10" xfId="58" applyFont="1" applyFill="1" applyBorder="1" applyAlignment="1">
      <alignment horizontal="left" vertical="top" wrapText="1"/>
      <protection/>
    </xf>
    <xf numFmtId="3" fontId="9" fillId="34" borderId="10" xfId="58" applyNumberFormat="1" applyFont="1" applyFill="1" applyBorder="1" applyAlignment="1">
      <alignment horizontal="center" vertical="top" wrapText="1"/>
      <protection/>
    </xf>
    <xf numFmtId="0" fontId="1" fillId="34" borderId="10" xfId="58" applyFont="1" applyFill="1" applyBorder="1" applyAlignment="1">
      <alignment horizontal="left" vertical="top" wrapText="1"/>
      <protection/>
    </xf>
    <xf numFmtId="3" fontId="1" fillId="34" borderId="10" xfId="58" applyNumberFormat="1" applyFont="1" applyFill="1" applyBorder="1" applyAlignment="1">
      <alignment horizontal="center" vertical="top" wrapText="1"/>
      <protection/>
    </xf>
    <xf numFmtId="0" fontId="9" fillId="35" borderId="10" xfId="58" applyFont="1" applyFill="1" applyBorder="1" applyAlignment="1">
      <alignment horizontal="left" vertical="top" wrapText="1"/>
      <protection/>
    </xf>
    <xf numFmtId="3" fontId="9" fillId="35" borderId="10" xfId="58" applyNumberFormat="1" applyFont="1" applyFill="1" applyBorder="1" applyAlignment="1">
      <alignment horizontal="center" vertical="top" wrapText="1"/>
      <protection/>
    </xf>
    <xf numFmtId="167" fontId="1" fillId="35" borderId="44" xfId="0" applyNumberFormat="1" applyFont="1" applyFill="1" applyBorder="1" applyAlignment="1">
      <alignment horizontal="center"/>
    </xf>
    <xf numFmtId="2" fontId="1" fillId="35" borderId="44" xfId="0" applyNumberFormat="1" applyFont="1" applyFill="1" applyBorder="1" applyAlignment="1">
      <alignment horizontal="center"/>
    </xf>
    <xf numFmtId="165" fontId="9" fillId="33" borderId="10" xfId="58" applyNumberFormat="1" applyFont="1" applyFill="1" applyBorder="1" applyAlignment="1">
      <alignment horizontal="center" vertical="top" wrapText="1"/>
      <protection/>
    </xf>
    <xf numFmtId="165" fontId="9" fillId="34" borderId="10" xfId="58" applyNumberFormat="1" applyFont="1" applyFill="1" applyBorder="1" applyAlignment="1">
      <alignment horizontal="center" vertical="top" wrapText="1"/>
      <protection/>
    </xf>
    <xf numFmtId="165" fontId="1" fillId="34" borderId="10" xfId="58" applyNumberFormat="1" applyFont="1" applyFill="1" applyBorder="1" applyAlignment="1">
      <alignment horizontal="center" vertical="top" wrapText="1"/>
      <protection/>
    </xf>
    <xf numFmtId="165" fontId="9" fillId="35" borderId="10" xfId="58" applyNumberFormat="1" applyFont="1" applyFill="1" applyBorder="1" applyAlignment="1">
      <alignment horizontal="center" vertical="top" wrapText="1"/>
      <protection/>
    </xf>
    <xf numFmtId="1" fontId="9" fillId="33" borderId="10" xfId="58" applyNumberFormat="1" applyFont="1" applyFill="1" applyBorder="1" applyAlignment="1">
      <alignment horizontal="center" vertical="top" wrapText="1"/>
      <protection/>
    </xf>
    <xf numFmtId="1" fontId="9" fillId="34" borderId="10" xfId="58" applyNumberFormat="1" applyFont="1" applyFill="1" applyBorder="1" applyAlignment="1">
      <alignment horizontal="center" vertical="top" wrapText="1"/>
      <protection/>
    </xf>
    <xf numFmtId="1" fontId="1" fillId="34" borderId="10" xfId="58" applyNumberFormat="1" applyFont="1" applyFill="1" applyBorder="1" applyAlignment="1">
      <alignment horizontal="center" vertical="top" wrapText="1"/>
      <protection/>
    </xf>
    <xf numFmtId="1" fontId="9" fillId="35" borderId="10" xfId="58" applyNumberFormat="1" applyFont="1" applyFill="1" applyBorder="1" applyAlignment="1">
      <alignment horizontal="center" vertical="top" wrapText="1"/>
      <protection/>
    </xf>
    <xf numFmtId="2" fontId="1" fillId="33" borderId="21" xfId="0" applyNumberFormat="1" applyFont="1" applyFill="1" applyBorder="1" applyAlignment="1" applyProtection="1">
      <alignment horizontal="center"/>
      <protection/>
    </xf>
    <xf numFmtId="2" fontId="1" fillId="33" borderId="55" xfId="0" applyNumberFormat="1" applyFont="1" applyFill="1" applyBorder="1" applyAlignment="1" applyProtection="1">
      <alignment horizontal="center"/>
      <protection/>
    </xf>
    <xf numFmtId="167" fontId="1" fillId="33" borderId="24" xfId="0" applyNumberFormat="1" applyFont="1" applyFill="1" applyBorder="1" applyAlignment="1" applyProtection="1">
      <alignment horizontal="center"/>
      <protection/>
    </xf>
    <xf numFmtId="2" fontId="1" fillId="33" borderId="54" xfId="0" applyNumberFormat="1" applyFont="1" applyFill="1" applyBorder="1" applyAlignment="1" applyProtection="1">
      <alignment horizontal="center"/>
      <protection/>
    </xf>
    <xf numFmtId="167" fontId="1" fillId="33" borderId="27" xfId="0" applyNumberFormat="1" applyFont="1" applyFill="1" applyBorder="1" applyAlignment="1" applyProtection="1">
      <alignment horizontal="center"/>
      <protection/>
    </xf>
    <xf numFmtId="2" fontId="1" fillId="33" borderId="48" xfId="0" applyNumberFormat="1" applyFont="1" applyFill="1" applyBorder="1" applyAlignment="1" applyProtection="1">
      <alignment horizontal="center"/>
      <protection/>
    </xf>
    <xf numFmtId="2" fontId="1" fillId="34" borderId="32" xfId="0" applyNumberFormat="1" applyFont="1" applyFill="1" applyBorder="1" applyAlignment="1" applyProtection="1">
      <alignment horizontal="center"/>
      <protection locked="0"/>
    </xf>
    <xf numFmtId="167" fontId="1" fillId="34" borderId="11" xfId="0" applyNumberFormat="1" applyFont="1" applyFill="1" applyBorder="1" applyAlignment="1" applyProtection="1">
      <alignment horizontal="center"/>
      <protection/>
    </xf>
    <xf numFmtId="2" fontId="1" fillId="34" borderId="11" xfId="0" applyNumberFormat="1" applyFont="1" applyFill="1" applyBorder="1" applyAlignment="1" applyProtection="1">
      <alignment horizontal="center"/>
      <protection locked="0"/>
    </xf>
    <xf numFmtId="1" fontId="1" fillId="34" borderId="11" xfId="0" applyNumberFormat="1" applyFont="1" applyFill="1" applyBorder="1" applyAlignment="1" applyProtection="1">
      <alignment horizontal="center"/>
      <protection locked="0"/>
    </xf>
    <xf numFmtId="166" fontId="1" fillId="35" borderId="22" xfId="0" applyNumberFormat="1" applyFont="1" applyFill="1" applyBorder="1" applyAlignment="1" applyProtection="1">
      <alignment horizontal="center"/>
      <protection locked="0"/>
    </xf>
    <xf numFmtId="165" fontId="1" fillId="33" borderId="33" xfId="0" applyNumberFormat="1" applyFont="1" applyFill="1" applyBorder="1" applyAlignment="1" applyProtection="1">
      <alignment horizontal="center"/>
      <protection locked="0"/>
    </xf>
    <xf numFmtId="165" fontId="1" fillId="33" borderId="53" xfId="0" applyNumberFormat="1" applyFont="1" applyFill="1" applyBorder="1" applyAlignment="1" applyProtection="1">
      <alignment horizontal="center"/>
      <protection locked="0"/>
    </xf>
    <xf numFmtId="2" fontId="1" fillId="33" borderId="24" xfId="0" applyNumberFormat="1" applyFont="1" applyFill="1" applyBorder="1" applyAlignment="1" applyProtection="1">
      <alignment horizontal="center"/>
      <protection/>
    </xf>
    <xf numFmtId="165" fontId="9" fillId="33" borderId="10" xfId="0" applyNumberFormat="1" applyFont="1" applyFill="1" applyBorder="1" applyAlignment="1" applyProtection="1">
      <alignment horizontal="center" vertical="top"/>
      <protection locked="0"/>
    </xf>
    <xf numFmtId="165" fontId="9" fillId="34" borderId="10" xfId="0" applyNumberFormat="1" applyFont="1" applyFill="1" applyBorder="1" applyAlignment="1" applyProtection="1">
      <alignment horizontal="center" vertical="top"/>
      <protection locked="0"/>
    </xf>
    <xf numFmtId="165" fontId="1" fillId="35" borderId="10" xfId="0" applyNumberFormat="1" applyFont="1" applyFill="1" applyBorder="1" applyAlignment="1" applyProtection="1">
      <alignment horizontal="center" vertical="top"/>
      <protection locked="0"/>
    </xf>
    <xf numFmtId="165" fontId="1" fillId="35" borderId="28" xfId="0" applyNumberFormat="1" applyFont="1" applyFill="1" applyBorder="1" applyAlignment="1" applyProtection="1">
      <alignment horizontal="center" vertical="top"/>
      <protection locked="0"/>
    </xf>
    <xf numFmtId="1" fontId="9" fillId="33" borderId="10" xfId="0" applyNumberFormat="1" applyFont="1" applyFill="1" applyBorder="1" applyAlignment="1" applyProtection="1">
      <alignment horizontal="center" vertical="top"/>
      <protection locked="0"/>
    </xf>
    <xf numFmtId="1" fontId="9" fillId="34" borderId="10" xfId="0" applyNumberFormat="1" applyFont="1" applyFill="1" applyBorder="1" applyAlignment="1" applyProtection="1">
      <alignment horizontal="center" vertical="top"/>
      <protection locked="0"/>
    </xf>
    <xf numFmtId="1" fontId="1" fillId="35" borderId="10" xfId="0" applyNumberFormat="1" applyFont="1" applyFill="1" applyBorder="1" applyAlignment="1" applyProtection="1">
      <alignment horizontal="center" vertical="top"/>
      <protection locked="0"/>
    </xf>
    <xf numFmtId="1" fontId="1" fillId="35" borderId="28" xfId="0" applyNumberFormat="1" applyFont="1" applyFill="1" applyBorder="1" applyAlignment="1" applyProtection="1">
      <alignment horizontal="center" vertical="top"/>
      <protection locked="0"/>
    </xf>
    <xf numFmtId="1" fontId="9" fillId="33" borderId="54" xfId="0" applyNumberFormat="1" applyFont="1" applyFill="1" applyBorder="1" applyAlignment="1" applyProtection="1">
      <alignment horizontal="center" vertical="top"/>
      <protection locked="0"/>
    </xf>
    <xf numFmtId="1" fontId="9" fillId="33" borderId="30" xfId="0" applyNumberFormat="1" applyFont="1" applyFill="1" applyBorder="1" applyAlignment="1" applyProtection="1">
      <alignment horizontal="center" vertical="top"/>
      <protection locked="0"/>
    </xf>
    <xf numFmtId="1" fontId="9" fillId="34" borderId="30" xfId="0" applyNumberFormat="1" applyFont="1" applyFill="1" applyBorder="1" applyAlignment="1" applyProtection="1">
      <alignment horizontal="center" vertical="top"/>
      <protection locked="0"/>
    </xf>
    <xf numFmtId="1" fontId="1" fillId="35" borderId="30" xfId="0" applyNumberFormat="1" applyFont="1" applyFill="1" applyBorder="1" applyAlignment="1" applyProtection="1">
      <alignment horizontal="center" vertical="top"/>
      <protection locked="0"/>
    </xf>
    <xf numFmtId="1" fontId="1" fillId="35" borderId="54" xfId="0" applyNumberFormat="1" applyFont="1" applyFill="1" applyBorder="1" applyAlignment="1" applyProtection="1">
      <alignment horizontal="center" vertical="top"/>
      <protection locked="0"/>
    </xf>
    <xf numFmtId="165" fontId="1" fillId="35" borderId="32" xfId="0" applyNumberFormat="1" applyFont="1" applyFill="1" applyBorder="1" applyAlignment="1">
      <alignment horizontal="center"/>
    </xf>
    <xf numFmtId="167" fontId="1" fillId="34" borderId="33" xfId="0" applyNumberFormat="1" applyFont="1" applyFill="1" applyBorder="1" applyAlignment="1">
      <alignment horizontal="center"/>
    </xf>
    <xf numFmtId="167" fontId="1" fillId="35" borderId="33" xfId="0" applyNumberFormat="1" applyFont="1" applyFill="1" applyBorder="1" applyAlignment="1">
      <alignment horizontal="center"/>
    </xf>
    <xf numFmtId="165" fontId="1" fillId="35" borderId="10" xfId="0" applyNumberFormat="1" applyFont="1" applyFill="1" applyBorder="1" applyAlignment="1">
      <alignment/>
    </xf>
    <xf numFmtId="167" fontId="1" fillId="34" borderId="28" xfId="62" applyNumberFormat="1" applyFont="1" applyFill="1" applyBorder="1" applyAlignment="1">
      <alignment horizontal="center"/>
      <protection/>
    </xf>
    <xf numFmtId="2" fontId="1" fillId="34" borderId="28" xfId="62" applyNumberFormat="1" applyFont="1" applyFill="1" applyBorder="1" applyAlignment="1">
      <alignment horizontal="center"/>
      <protection/>
    </xf>
    <xf numFmtId="2" fontId="1" fillId="34" borderId="56" xfId="62" applyNumberFormat="1" applyFont="1" applyFill="1" applyBorder="1" applyAlignment="1">
      <alignment horizontal="center"/>
      <protection/>
    </xf>
    <xf numFmtId="167" fontId="1" fillId="34" borderId="10" xfId="62" applyNumberFormat="1" applyFont="1" applyFill="1" applyBorder="1" applyAlignment="1">
      <alignment horizontal="center"/>
      <protection/>
    </xf>
    <xf numFmtId="167" fontId="1" fillId="35" borderId="44" xfId="62" applyNumberFormat="1" applyFont="1" applyFill="1" applyBorder="1" applyAlignment="1">
      <alignment horizontal="center"/>
      <protection/>
    </xf>
    <xf numFmtId="2" fontId="1" fillId="35" borderId="44" xfId="62" applyNumberFormat="1" applyFont="1" applyFill="1" applyBorder="1" applyAlignment="1">
      <alignment horizontal="center"/>
      <protection/>
    </xf>
    <xf numFmtId="2" fontId="1" fillId="35" borderId="56" xfId="62" applyNumberFormat="1" applyFont="1" applyFill="1" applyBorder="1" applyAlignment="1">
      <alignment horizontal="center"/>
      <protection/>
    </xf>
    <xf numFmtId="167" fontId="1" fillId="35" borderId="10" xfId="62" applyNumberFormat="1" applyFont="1" applyFill="1" applyBorder="1" applyAlignment="1">
      <alignment horizontal="center"/>
      <protection/>
    </xf>
    <xf numFmtId="2" fontId="1" fillId="35" borderId="10" xfId="62" applyNumberFormat="1" applyFont="1" applyFill="1" applyBorder="1" applyAlignment="1">
      <alignment horizontal="center"/>
      <protection/>
    </xf>
    <xf numFmtId="167" fontId="1" fillId="35" borderId="28" xfId="62" applyNumberFormat="1" applyFont="1" applyFill="1" applyBorder="1" applyAlignment="1">
      <alignment horizontal="center"/>
      <protection/>
    </xf>
    <xf numFmtId="2" fontId="1" fillId="35" borderId="32" xfId="62" applyNumberFormat="1" applyFont="1" applyFill="1" applyBorder="1" applyAlignment="1">
      <alignment horizontal="center"/>
      <protection/>
    </xf>
    <xf numFmtId="165" fontId="1" fillId="34" borderId="28" xfId="62" applyNumberFormat="1" applyFont="1" applyFill="1" applyBorder="1" applyAlignment="1">
      <alignment horizontal="center"/>
      <protection/>
    </xf>
    <xf numFmtId="165" fontId="1" fillId="34" borderId="21" xfId="62" applyNumberFormat="1" applyFont="1" applyFill="1" applyBorder="1" applyAlignment="1">
      <alignment horizontal="center"/>
      <protection/>
    </xf>
    <xf numFmtId="165" fontId="1" fillId="34" borderId="10" xfId="62" applyNumberFormat="1" applyFont="1" applyFill="1" applyBorder="1" applyAlignment="1">
      <alignment horizontal="center"/>
      <protection/>
    </xf>
    <xf numFmtId="165" fontId="1" fillId="35" borderId="44" xfId="62" applyNumberFormat="1" applyFont="1" applyFill="1" applyBorder="1" applyAlignment="1">
      <alignment horizontal="center"/>
      <protection/>
    </xf>
    <xf numFmtId="165" fontId="1" fillId="35" borderId="21" xfId="62" applyNumberFormat="1" applyFont="1" applyFill="1" applyBorder="1" applyAlignment="1">
      <alignment horizontal="center"/>
      <protection/>
    </xf>
    <xf numFmtId="165" fontId="1" fillId="35" borderId="10" xfId="62" applyNumberFormat="1" applyFont="1" applyFill="1" applyBorder="1" applyAlignment="1">
      <alignment horizontal="center"/>
      <protection/>
    </xf>
    <xf numFmtId="165" fontId="1" fillId="35" borderId="28" xfId="62" applyNumberFormat="1" applyFont="1" applyFill="1" applyBorder="1" applyAlignment="1">
      <alignment horizontal="center"/>
      <protection/>
    </xf>
    <xf numFmtId="1" fontId="1" fillId="34" borderId="21" xfId="62" applyNumberFormat="1" applyFont="1" applyFill="1" applyBorder="1" applyAlignment="1">
      <alignment horizontal="center"/>
      <protection/>
    </xf>
    <xf numFmtId="1" fontId="1" fillId="34" borderId="10" xfId="62" applyNumberFormat="1" applyFont="1" applyFill="1" applyBorder="1" applyAlignment="1">
      <alignment horizontal="center"/>
      <protection/>
    </xf>
    <xf numFmtId="1" fontId="1" fillId="35" borderId="21" xfId="62" applyNumberFormat="1" applyFont="1" applyFill="1" applyBorder="1" applyAlignment="1">
      <alignment horizontal="center"/>
      <protection/>
    </xf>
    <xf numFmtId="1" fontId="1" fillId="35" borderId="10" xfId="62" applyNumberFormat="1" applyFont="1" applyFill="1" applyBorder="1" applyAlignment="1">
      <alignment horizontal="center"/>
      <protection/>
    </xf>
    <xf numFmtId="0" fontId="1" fillId="34" borderId="21" xfId="62" applyFont="1" applyFill="1" applyBorder="1" applyAlignment="1">
      <alignment horizontal="left"/>
      <protection/>
    </xf>
    <xf numFmtId="0" fontId="1" fillId="34" borderId="10" xfId="62" applyFont="1" applyFill="1" applyBorder="1" applyAlignment="1">
      <alignment horizontal="left"/>
      <protection/>
    </xf>
    <xf numFmtId="0" fontId="1" fillId="35" borderId="21" xfId="62" applyFont="1" applyFill="1" applyBorder="1" applyAlignment="1">
      <alignment horizontal="left"/>
      <protection/>
    </xf>
    <xf numFmtId="0" fontId="1" fillId="35" borderId="10" xfId="62" applyFont="1" applyFill="1" applyBorder="1" applyAlignment="1">
      <alignment horizontal="left"/>
      <protection/>
    </xf>
    <xf numFmtId="165" fontId="1" fillId="35" borderId="10" xfId="0" applyNumberFormat="1" applyFont="1" applyFill="1" applyBorder="1" applyAlignment="1" applyProtection="1">
      <alignment horizontal="left" indent="4"/>
      <protection locked="0"/>
    </xf>
    <xf numFmtId="165" fontId="1" fillId="33" borderId="37" xfId="0" applyNumberFormat="1" applyFont="1" applyFill="1" applyBorder="1" applyAlignment="1" applyProtection="1">
      <alignment horizontal="center"/>
      <protection/>
    </xf>
    <xf numFmtId="1" fontId="1" fillId="36" borderId="28" xfId="0" applyNumberFormat="1" applyFont="1" applyFill="1" applyBorder="1" applyAlignment="1">
      <alignment horizontal="center"/>
    </xf>
    <xf numFmtId="1" fontId="1" fillId="36" borderId="11" xfId="0" applyNumberFormat="1" applyFont="1" applyFill="1" applyBorder="1" applyAlignment="1">
      <alignment horizontal="center"/>
    </xf>
    <xf numFmtId="167" fontId="1" fillId="36" borderId="32" xfId="0" applyNumberFormat="1" applyFont="1" applyFill="1" applyBorder="1" applyAlignment="1" applyProtection="1">
      <alignment horizontal="center"/>
      <protection/>
    </xf>
    <xf numFmtId="2" fontId="1" fillId="36" borderId="32" xfId="0" applyNumberFormat="1" applyFont="1" applyFill="1" applyBorder="1" applyAlignment="1" applyProtection="1">
      <alignment horizontal="center"/>
      <protection locked="0"/>
    </xf>
    <xf numFmtId="2" fontId="1" fillId="36" borderId="12" xfId="0" applyNumberFormat="1" applyFont="1" applyFill="1" applyBorder="1" applyAlignment="1" applyProtection="1">
      <alignment horizontal="center"/>
      <protection/>
    </xf>
    <xf numFmtId="1" fontId="1" fillId="34" borderId="21" xfId="55" applyNumberFormat="1" applyFont="1" applyFill="1" applyBorder="1" applyAlignment="1">
      <alignment horizontal="center"/>
      <protection/>
    </xf>
    <xf numFmtId="1" fontId="1" fillId="34" borderId="10" xfId="55" applyNumberFormat="1" applyFont="1" applyFill="1" applyBorder="1" applyAlignment="1">
      <alignment horizontal="center"/>
      <protection/>
    </xf>
    <xf numFmtId="1" fontId="1" fillId="34" borderId="22" xfId="55" applyNumberFormat="1" applyFont="1" applyFill="1" applyBorder="1" applyAlignment="1">
      <alignment horizontal="center"/>
      <protection/>
    </xf>
    <xf numFmtId="1" fontId="1" fillId="35" borderId="28" xfId="55" applyNumberFormat="1" applyFont="1" applyFill="1" applyBorder="1" applyAlignment="1">
      <alignment horizontal="center"/>
      <protection/>
    </xf>
    <xf numFmtId="1" fontId="1" fillId="35" borderId="10" xfId="55" applyNumberFormat="1" applyFont="1" applyFill="1" applyBorder="1" applyAlignment="1">
      <alignment horizontal="center"/>
      <protection/>
    </xf>
    <xf numFmtId="165" fontId="1" fillId="36" borderId="28" xfId="0" applyNumberFormat="1" applyFont="1" applyFill="1" applyBorder="1" applyAlignment="1">
      <alignment horizontal="center"/>
    </xf>
    <xf numFmtId="165" fontId="1" fillId="36" borderId="34" xfId="0" applyNumberFormat="1" applyFont="1" applyFill="1" applyBorder="1" applyAlignment="1">
      <alignment horizontal="center"/>
    </xf>
    <xf numFmtId="165" fontId="1" fillId="36" borderId="31" xfId="0" applyNumberFormat="1" applyFont="1" applyFill="1" applyBorder="1" applyAlignment="1">
      <alignment horizontal="center"/>
    </xf>
    <xf numFmtId="165" fontId="1" fillId="36" borderId="11" xfId="0" applyNumberFormat="1" applyFont="1" applyFill="1" applyBorder="1" applyAlignment="1" applyProtection="1">
      <alignment horizontal="center"/>
      <protection locked="0"/>
    </xf>
    <xf numFmtId="165" fontId="1" fillId="36" borderId="11" xfId="0" applyNumberFormat="1" applyFont="1" applyFill="1" applyBorder="1" applyAlignment="1">
      <alignment horizontal="center"/>
    </xf>
    <xf numFmtId="165" fontId="1" fillId="36" borderId="57" xfId="0" applyNumberFormat="1" applyFont="1" applyFill="1" applyBorder="1" applyAlignment="1">
      <alignment horizontal="center"/>
    </xf>
    <xf numFmtId="165" fontId="1" fillId="34" borderId="21" xfId="55" applyNumberFormat="1" applyFont="1" applyFill="1" applyBorder="1" applyAlignment="1">
      <alignment horizontal="center"/>
      <protection/>
    </xf>
    <xf numFmtId="165" fontId="1" fillId="34" borderId="10" xfId="55" applyNumberFormat="1" applyFont="1" applyFill="1" applyBorder="1" applyAlignment="1">
      <alignment horizontal="center"/>
      <protection/>
    </xf>
    <xf numFmtId="165" fontId="1" fillId="34" borderId="22" xfId="55" applyNumberFormat="1" applyFont="1" applyFill="1" applyBorder="1" applyAlignment="1">
      <alignment horizontal="center"/>
      <protection/>
    </xf>
    <xf numFmtId="165" fontId="1" fillId="35" borderId="28" xfId="55" applyNumberFormat="1" applyFont="1" applyFill="1" applyBorder="1" applyAlignment="1">
      <alignment horizontal="center"/>
      <protection/>
    </xf>
    <xf numFmtId="165" fontId="1" fillId="35" borderId="10" xfId="55" applyNumberFormat="1" applyFont="1" applyFill="1" applyBorder="1" applyAlignment="1">
      <alignment horizontal="center"/>
      <protection/>
    </xf>
    <xf numFmtId="167" fontId="1" fillId="35" borderId="32" xfId="0" applyNumberFormat="1" applyFont="1" applyFill="1" applyBorder="1" applyAlignment="1" applyProtection="1">
      <alignment horizontal="center"/>
      <protection/>
    </xf>
    <xf numFmtId="2" fontId="1" fillId="35" borderId="32" xfId="0" applyNumberFormat="1" applyFont="1" applyFill="1" applyBorder="1" applyAlignment="1" applyProtection="1">
      <alignment horizontal="center"/>
      <protection locked="0"/>
    </xf>
    <xf numFmtId="167" fontId="1" fillId="35" borderId="14" xfId="0" applyNumberFormat="1" applyFont="1" applyFill="1" applyBorder="1" applyAlignment="1" applyProtection="1">
      <alignment horizontal="center"/>
      <protection/>
    </xf>
    <xf numFmtId="165" fontId="1" fillId="35" borderId="44" xfId="0" applyNumberFormat="1" applyFont="1" applyFill="1" applyBorder="1" applyAlignment="1" applyProtection="1">
      <alignment horizontal="center"/>
      <protection locked="0"/>
    </xf>
    <xf numFmtId="1" fontId="1" fillId="35" borderId="32" xfId="0" applyNumberFormat="1" applyFont="1" applyFill="1" applyBorder="1" applyAlignment="1" applyProtection="1">
      <alignment horizontal="center"/>
      <protection locked="0"/>
    </xf>
    <xf numFmtId="0" fontId="1" fillId="35" borderId="26" xfId="0" applyFont="1" applyFill="1" applyBorder="1" applyAlignment="1">
      <alignment/>
    </xf>
    <xf numFmtId="165" fontId="9" fillId="33" borderId="22" xfId="0" applyNumberFormat="1" applyFont="1" applyFill="1" applyBorder="1" applyAlignment="1" applyProtection="1">
      <alignment horizontal="center" vertical="top"/>
      <protection locked="0"/>
    </xf>
    <xf numFmtId="1" fontId="9" fillId="33" borderId="22" xfId="0" applyNumberFormat="1" applyFont="1" applyFill="1" applyBorder="1" applyAlignment="1" applyProtection="1">
      <alignment horizontal="center" vertical="top"/>
      <protection locked="0"/>
    </xf>
    <xf numFmtId="1" fontId="9" fillId="33" borderId="29" xfId="0" applyNumberFormat="1" applyFont="1" applyFill="1" applyBorder="1" applyAlignment="1" applyProtection="1">
      <alignment horizontal="center" vertical="top"/>
      <protection locked="0"/>
    </xf>
    <xf numFmtId="2" fontId="1" fillId="33" borderId="36" xfId="0" applyNumberFormat="1" applyFont="1" applyFill="1" applyBorder="1" applyAlignment="1" applyProtection="1">
      <alignment horizontal="center"/>
      <protection/>
    </xf>
    <xf numFmtId="165" fontId="9" fillId="34" borderId="28" xfId="0" applyNumberFormat="1" applyFont="1" applyFill="1" applyBorder="1" applyAlignment="1" applyProtection="1">
      <alignment horizontal="center" vertical="top"/>
      <protection locked="0"/>
    </xf>
    <xf numFmtId="1" fontId="9" fillId="34" borderId="28" xfId="0" applyNumberFormat="1" applyFont="1" applyFill="1" applyBorder="1" applyAlignment="1" applyProtection="1">
      <alignment horizontal="center" vertical="top"/>
      <protection locked="0"/>
    </xf>
    <xf numFmtId="1" fontId="9" fillId="34" borderId="54" xfId="0" applyNumberFormat="1" applyFont="1" applyFill="1" applyBorder="1" applyAlignment="1" applyProtection="1">
      <alignment horizontal="center" vertical="top"/>
      <protection locked="0"/>
    </xf>
    <xf numFmtId="0" fontId="1" fillId="34" borderId="48" xfId="0" applyFont="1" applyFill="1" applyBorder="1" applyAlignment="1" applyProtection="1">
      <alignment horizontal="center"/>
      <protection locked="0"/>
    </xf>
    <xf numFmtId="165" fontId="9" fillId="34" borderId="22" xfId="0" applyNumberFormat="1" applyFont="1" applyFill="1" applyBorder="1" applyAlignment="1" applyProtection="1">
      <alignment horizontal="center" vertical="top"/>
      <protection locked="0"/>
    </xf>
    <xf numFmtId="1" fontId="9" fillId="34" borderId="22" xfId="0" applyNumberFormat="1" applyFont="1" applyFill="1" applyBorder="1" applyAlignment="1" applyProtection="1">
      <alignment horizontal="center" vertical="top"/>
      <protection locked="0"/>
    </xf>
    <xf numFmtId="1" fontId="9" fillId="34" borderId="29" xfId="0" applyNumberFormat="1" applyFont="1" applyFill="1" applyBorder="1" applyAlignment="1" applyProtection="1">
      <alignment horizontal="center" vertical="top"/>
      <protection locked="0"/>
    </xf>
    <xf numFmtId="0" fontId="1" fillId="35" borderId="48" xfId="0" applyFont="1" applyFill="1" applyBorder="1" applyAlignment="1" applyProtection="1">
      <alignment horizontal="center"/>
      <protection locked="0"/>
    </xf>
    <xf numFmtId="165" fontId="1" fillId="35" borderId="22" xfId="0" applyNumberFormat="1" applyFont="1" applyFill="1" applyBorder="1" applyAlignment="1" applyProtection="1">
      <alignment horizontal="center" vertical="top"/>
      <protection locked="0"/>
    </xf>
    <xf numFmtId="1" fontId="1" fillId="35" borderId="22" xfId="0" applyNumberFormat="1" applyFont="1" applyFill="1" applyBorder="1" applyAlignment="1" applyProtection="1">
      <alignment horizontal="center" vertical="top"/>
      <protection locked="0"/>
    </xf>
    <xf numFmtId="1" fontId="1" fillId="35" borderId="29" xfId="0" applyNumberFormat="1" applyFont="1" applyFill="1" applyBorder="1" applyAlignment="1" applyProtection="1">
      <alignment horizontal="center" vertical="top"/>
      <protection locked="0"/>
    </xf>
    <xf numFmtId="0" fontId="3" fillId="34" borderId="28" xfId="0" applyFont="1" applyFill="1" applyBorder="1" applyAlignment="1">
      <alignment/>
    </xf>
    <xf numFmtId="165" fontId="1" fillId="34" borderId="28" xfId="0" applyNumberFormat="1" applyFont="1" applyFill="1" applyBorder="1" applyAlignment="1">
      <alignment/>
    </xf>
    <xf numFmtId="1" fontId="1" fillId="34" borderId="28" xfId="0" applyNumberFormat="1" applyFont="1" applyFill="1" applyBorder="1" applyAlignment="1">
      <alignment/>
    </xf>
    <xf numFmtId="0" fontId="1" fillId="34" borderId="36" xfId="0" applyFont="1" applyFill="1" applyBorder="1" applyAlignment="1">
      <alignment/>
    </xf>
    <xf numFmtId="0" fontId="1" fillId="35" borderId="50" xfId="0" applyFont="1" applyFill="1" applyBorder="1" applyAlignment="1">
      <alignment horizontal="center"/>
    </xf>
    <xf numFmtId="0" fontId="1" fillId="35" borderId="31" xfId="0" applyFont="1" applyFill="1" applyBorder="1" applyAlignment="1">
      <alignment horizontal="center"/>
    </xf>
    <xf numFmtId="2" fontId="1" fillId="35" borderId="21" xfId="62" applyNumberFormat="1" applyFont="1" applyFill="1" applyBorder="1" applyAlignment="1">
      <alignment horizontal="center"/>
      <protection/>
    </xf>
    <xf numFmtId="2" fontId="1" fillId="35" borderId="28" xfId="62" applyNumberFormat="1" applyFont="1" applyFill="1" applyBorder="1" applyAlignment="1">
      <alignment horizontal="center"/>
      <protection/>
    </xf>
    <xf numFmtId="0" fontId="1" fillId="0" borderId="0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58" xfId="0" applyFont="1" applyBorder="1" applyAlignment="1">
      <alignment/>
    </xf>
    <xf numFmtId="0" fontId="1" fillId="33" borderId="34" xfId="0" applyFont="1" applyFill="1" applyBorder="1" applyAlignment="1">
      <alignment/>
    </xf>
    <xf numFmtId="0" fontId="1" fillId="33" borderId="48" xfId="0" applyFont="1" applyFill="1" applyBorder="1" applyAlignment="1">
      <alignment/>
    </xf>
    <xf numFmtId="0" fontId="1" fillId="34" borderId="57" xfId="0" applyFont="1" applyFill="1" applyBorder="1" applyAlignment="1">
      <alignment/>
    </xf>
    <xf numFmtId="165" fontId="1" fillId="33" borderId="31" xfId="0" applyNumberFormat="1" applyFont="1" applyFill="1" applyBorder="1" applyAlignment="1" applyProtection="1">
      <alignment horizontal="center"/>
      <protection locked="0"/>
    </xf>
    <xf numFmtId="165" fontId="1" fillId="33" borderId="48" xfId="0" applyNumberFormat="1" applyFont="1" applyFill="1" applyBorder="1" applyAlignment="1" applyProtection="1">
      <alignment horizontal="center"/>
      <protection locked="0"/>
    </xf>
    <xf numFmtId="165" fontId="1" fillId="34" borderId="50" xfId="0" applyNumberFormat="1" applyFont="1" applyFill="1" applyBorder="1" applyAlignment="1" applyProtection="1">
      <alignment horizontal="center"/>
      <protection locked="0"/>
    </xf>
    <xf numFmtId="165" fontId="1" fillId="34" borderId="31" xfId="0" applyNumberFormat="1" applyFont="1" applyFill="1" applyBorder="1" applyAlignment="1" applyProtection="1">
      <alignment horizontal="center"/>
      <protection locked="0"/>
    </xf>
    <xf numFmtId="165" fontId="1" fillId="34" borderId="57" xfId="0" applyNumberFormat="1" applyFont="1" applyFill="1" applyBorder="1" applyAlignment="1" applyProtection="1">
      <alignment horizontal="center"/>
      <protection locked="0"/>
    </xf>
    <xf numFmtId="165" fontId="1" fillId="35" borderId="50" xfId="0" applyNumberFormat="1" applyFont="1" applyFill="1" applyBorder="1" applyAlignment="1" applyProtection="1">
      <alignment horizontal="center"/>
      <protection locked="0"/>
    </xf>
    <xf numFmtId="165" fontId="1" fillId="35" borderId="48" xfId="0" applyNumberFormat="1" applyFont="1" applyFill="1" applyBorder="1" applyAlignment="1" applyProtection="1">
      <alignment horizontal="center"/>
      <protection locked="0"/>
    </xf>
    <xf numFmtId="0" fontId="1" fillId="33" borderId="50" xfId="0" applyFont="1" applyFill="1" applyBorder="1" applyAlignment="1" applyProtection="1">
      <alignment/>
      <protection locked="0"/>
    </xf>
    <xf numFmtId="0" fontId="1" fillId="33" borderId="31" xfId="0" applyFont="1" applyFill="1" applyBorder="1" applyAlignment="1" applyProtection="1">
      <alignment/>
      <protection locked="0"/>
    </xf>
    <xf numFmtId="0" fontId="1" fillId="33" borderId="48" xfId="0" applyFont="1" applyFill="1" applyBorder="1" applyAlignment="1" applyProtection="1">
      <alignment/>
      <protection locked="0"/>
    </xf>
    <xf numFmtId="0" fontId="1" fillId="34" borderId="21" xfId="0" applyFont="1" applyFill="1" applyBorder="1" applyAlignment="1" applyProtection="1">
      <alignment horizontal="left"/>
      <protection locked="0"/>
    </xf>
    <xf numFmtId="0" fontId="1" fillId="34" borderId="10" xfId="0" applyFont="1" applyFill="1" applyBorder="1" applyAlignment="1">
      <alignment horizontal="left"/>
    </xf>
    <xf numFmtId="0" fontId="1" fillId="34" borderId="22" xfId="0" applyFont="1" applyFill="1" applyBorder="1" applyAlignment="1">
      <alignment horizontal="left"/>
    </xf>
    <xf numFmtId="0" fontId="1" fillId="35" borderId="21" xfId="0" applyFont="1" applyFill="1" applyBorder="1" applyAlignment="1" applyProtection="1">
      <alignment horizontal="left"/>
      <protection locked="0"/>
    </xf>
    <xf numFmtId="0" fontId="1" fillId="35" borderId="11" xfId="0" applyFont="1" applyFill="1" applyBorder="1" applyAlignment="1">
      <alignment horizontal="left"/>
    </xf>
    <xf numFmtId="0" fontId="1" fillId="13" borderId="33" xfId="0" applyFont="1" applyFill="1" applyBorder="1" applyAlignment="1">
      <alignment horizontal="center"/>
    </xf>
    <xf numFmtId="0" fontId="1" fillId="13" borderId="10" xfId="0" applyFont="1" applyFill="1" applyBorder="1" applyAlignment="1" applyProtection="1">
      <alignment/>
      <protection locked="0"/>
    </xf>
    <xf numFmtId="0" fontId="1" fillId="13" borderId="10" xfId="0" applyFont="1" applyFill="1" applyBorder="1" applyAlignment="1" applyProtection="1">
      <alignment horizontal="center"/>
      <protection locked="0"/>
    </xf>
    <xf numFmtId="165" fontId="1" fillId="13" borderId="10" xfId="0" applyNumberFormat="1" applyFont="1" applyFill="1" applyBorder="1" applyAlignment="1" applyProtection="1">
      <alignment horizontal="center"/>
      <protection locked="0"/>
    </xf>
    <xf numFmtId="165" fontId="1" fillId="13" borderId="21" xfId="0" applyNumberFormat="1" applyFont="1" applyFill="1" applyBorder="1" applyAlignment="1" applyProtection="1">
      <alignment horizontal="center"/>
      <protection locked="0"/>
    </xf>
    <xf numFmtId="1" fontId="1" fillId="13" borderId="21" xfId="0" applyNumberFormat="1" applyFont="1" applyFill="1" applyBorder="1" applyAlignment="1" applyProtection="1">
      <alignment horizontal="center"/>
      <protection locked="0"/>
    </xf>
    <xf numFmtId="167" fontId="1" fillId="13" borderId="28" xfId="0" applyNumberFormat="1" applyFont="1" applyFill="1" applyBorder="1" applyAlignment="1" applyProtection="1">
      <alignment horizontal="center"/>
      <protection/>
    </xf>
    <xf numFmtId="2" fontId="1" fillId="13" borderId="28" xfId="0" applyNumberFormat="1" applyFont="1" applyFill="1" applyBorder="1" applyAlignment="1" applyProtection="1">
      <alignment horizontal="center"/>
      <protection locked="0"/>
    </xf>
    <xf numFmtId="2" fontId="1" fillId="13" borderId="28" xfId="0" applyNumberFormat="1" applyFont="1" applyFill="1" applyBorder="1" applyAlignment="1" applyProtection="1">
      <alignment horizontal="center"/>
      <protection/>
    </xf>
    <xf numFmtId="2" fontId="1" fillId="13" borderId="36" xfId="0" applyNumberFormat="1" applyFont="1" applyFill="1" applyBorder="1" applyAlignment="1" applyProtection="1">
      <alignment horizontal="center"/>
      <protection/>
    </xf>
    <xf numFmtId="0" fontId="1" fillId="13" borderId="24" xfId="0" applyFont="1" applyFill="1" applyBorder="1" applyAlignment="1">
      <alignment horizontal="center"/>
    </xf>
    <xf numFmtId="1" fontId="1" fillId="13" borderId="10" xfId="0" applyNumberFormat="1" applyFont="1" applyFill="1" applyBorder="1" applyAlignment="1" applyProtection="1">
      <alignment horizontal="center"/>
      <protection locked="0"/>
    </xf>
    <xf numFmtId="2" fontId="1" fillId="13" borderId="10" xfId="0" applyNumberFormat="1" applyFont="1" applyFill="1" applyBorder="1" applyAlignment="1" applyProtection="1">
      <alignment horizontal="center"/>
      <protection locked="0"/>
    </xf>
    <xf numFmtId="167" fontId="1" fillId="13" borderId="10" xfId="0" applyNumberFormat="1" applyFont="1" applyFill="1" applyBorder="1" applyAlignment="1" applyProtection="1">
      <alignment horizontal="center"/>
      <protection/>
    </xf>
    <xf numFmtId="2" fontId="1" fillId="13" borderId="25" xfId="0" applyNumberFormat="1" applyFont="1" applyFill="1" applyBorder="1" applyAlignment="1" applyProtection="1">
      <alignment horizontal="center"/>
      <protection/>
    </xf>
    <xf numFmtId="2" fontId="1" fillId="13" borderId="10" xfId="0" applyNumberFormat="1" applyFont="1" applyFill="1" applyBorder="1" applyAlignment="1" applyProtection="1">
      <alignment horizontal="center"/>
      <protection/>
    </xf>
    <xf numFmtId="0" fontId="1" fillId="13" borderId="10" xfId="0" applyFont="1" applyFill="1" applyBorder="1" applyAlignment="1" applyProtection="1">
      <alignment horizontal="left"/>
      <protection locked="0"/>
    </xf>
    <xf numFmtId="0" fontId="1" fillId="13" borderId="10" xfId="0" applyFont="1" applyFill="1" applyBorder="1" applyAlignment="1">
      <alignment horizontal="center"/>
    </xf>
    <xf numFmtId="0" fontId="1" fillId="13" borderId="10" xfId="0" applyFont="1" applyFill="1" applyBorder="1" applyAlignment="1">
      <alignment horizontal="left"/>
    </xf>
    <xf numFmtId="165" fontId="1" fillId="13" borderId="10" xfId="0" applyNumberFormat="1" applyFont="1" applyFill="1" applyBorder="1" applyAlignment="1">
      <alignment horizontal="center"/>
    </xf>
    <xf numFmtId="1" fontId="1" fillId="13" borderId="10" xfId="0" applyNumberFormat="1" applyFont="1" applyFill="1" applyBorder="1" applyAlignment="1">
      <alignment horizontal="center"/>
    </xf>
    <xf numFmtId="167" fontId="1" fillId="13" borderId="10" xfId="0" applyNumberFormat="1" applyFont="1" applyFill="1" applyBorder="1" applyAlignment="1">
      <alignment horizontal="center"/>
    </xf>
    <xf numFmtId="2" fontId="1" fillId="13" borderId="10" xfId="0" applyNumberFormat="1" applyFont="1" applyFill="1" applyBorder="1" applyAlignment="1">
      <alignment horizontal="center"/>
    </xf>
    <xf numFmtId="2" fontId="1" fillId="13" borderId="25" xfId="0" applyNumberFormat="1" applyFont="1" applyFill="1" applyBorder="1" applyAlignment="1">
      <alignment horizontal="center"/>
    </xf>
    <xf numFmtId="0" fontId="1" fillId="13" borderId="10" xfId="0" applyFont="1" applyFill="1" applyBorder="1" applyAlignment="1">
      <alignment horizontal="left" wrapText="1"/>
    </xf>
    <xf numFmtId="2" fontId="1" fillId="13" borderId="24" xfId="0" applyNumberFormat="1" applyFont="1" applyFill="1" applyBorder="1" applyAlignment="1">
      <alignment horizontal="center"/>
    </xf>
    <xf numFmtId="0" fontId="1" fillId="13" borderId="14" xfId="0" applyFont="1" applyFill="1" applyBorder="1" applyAlignment="1">
      <alignment horizontal="center"/>
    </xf>
    <xf numFmtId="0" fontId="1" fillId="13" borderId="22" xfId="0" applyFont="1" applyFill="1" applyBorder="1" applyAlignment="1">
      <alignment horizontal="left"/>
    </xf>
    <xf numFmtId="0" fontId="1" fillId="13" borderId="22" xfId="0" applyFont="1" applyFill="1" applyBorder="1" applyAlignment="1">
      <alignment horizontal="center"/>
    </xf>
    <xf numFmtId="165" fontId="1" fillId="13" borderId="22" xfId="0" applyNumberFormat="1" applyFont="1" applyFill="1" applyBorder="1" applyAlignment="1">
      <alignment horizontal="center"/>
    </xf>
    <xf numFmtId="1" fontId="1" fillId="13" borderId="22" xfId="0" applyNumberFormat="1" applyFont="1" applyFill="1" applyBorder="1" applyAlignment="1">
      <alignment horizontal="center"/>
    </xf>
    <xf numFmtId="167" fontId="1" fillId="13" borderId="22" xfId="0" applyNumberFormat="1" applyFont="1" applyFill="1" applyBorder="1" applyAlignment="1">
      <alignment horizontal="center"/>
    </xf>
    <xf numFmtId="2" fontId="1" fillId="13" borderId="22" xfId="0" applyNumberFormat="1" applyFont="1" applyFill="1" applyBorder="1" applyAlignment="1">
      <alignment horizontal="center"/>
    </xf>
    <xf numFmtId="2" fontId="1" fillId="13" borderId="27" xfId="0" applyNumberFormat="1" applyFont="1" applyFill="1" applyBorder="1" applyAlignment="1">
      <alignment horizontal="center"/>
    </xf>
    <xf numFmtId="2" fontId="1" fillId="13" borderId="26" xfId="0" applyNumberFormat="1" applyFont="1" applyFill="1" applyBorder="1" applyAlignment="1">
      <alignment horizontal="center"/>
    </xf>
    <xf numFmtId="0" fontId="1" fillId="13" borderId="28" xfId="0" applyFont="1" applyFill="1" applyBorder="1" applyAlignment="1">
      <alignment horizontal="center"/>
    </xf>
    <xf numFmtId="165" fontId="1" fillId="13" borderId="28" xfId="0" applyNumberFormat="1" applyFont="1" applyFill="1" applyBorder="1" applyAlignment="1" applyProtection="1">
      <alignment horizontal="center"/>
      <protection locked="0"/>
    </xf>
    <xf numFmtId="0" fontId="1" fillId="13" borderId="22" xfId="0" applyFont="1" applyFill="1" applyBorder="1" applyAlignment="1" applyProtection="1">
      <alignment/>
      <protection locked="0"/>
    </xf>
    <xf numFmtId="0" fontId="1" fillId="13" borderId="22" xfId="0" applyFont="1" applyFill="1" applyBorder="1" applyAlignment="1" applyProtection="1">
      <alignment horizontal="center"/>
      <protection locked="0"/>
    </xf>
    <xf numFmtId="165" fontId="1" fillId="13" borderId="22" xfId="0" applyNumberFormat="1" applyFont="1" applyFill="1" applyBorder="1" applyAlignment="1" applyProtection="1">
      <alignment horizontal="center"/>
      <protection locked="0"/>
    </xf>
    <xf numFmtId="1" fontId="1" fillId="13" borderId="22" xfId="0" applyNumberFormat="1" applyFont="1" applyFill="1" applyBorder="1" applyAlignment="1" applyProtection="1">
      <alignment horizontal="center"/>
      <protection locked="0"/>
    </xf>
    <xf numFmtId="167" fontId="1" fillId="13" borderId="22" xfId="0" applyNumberFormat="1" applyFont="1" applyFill="1" applyBorder="1" applyAlignment="1" applyProtection="1">
      <alignment horizontal="center"/>
      <protection/>
    </xf>
    <xf numFmtId="2" fontId="1" fillId="13" borderId="22" xfId="0" applyNumberFormat="1" applyFont="1" applyFill="1" applyBorder="1" applyAlignment="1" applyProtection="1">
      <alignment horizontal="center"/>
      <protection/>
    </xf>
    <xf numFmtId="2" fontId="1" fillId="13" borderId="26" xfId="0" applyNumberFormat="1" applyFont="1" applyFill="1" applyBorder="1" applyAlignment="1" applyProtection="1">
      <alignment horizontal="center"/>
      <protection/>
    </xf>
    <xf numFmtId="0" fontId="1" fillId="13" borderId="21" xfId="0" applyFont="1" applyFill="1" applyBorder="1" applyAlignment="1">
      <alignment horizontal="center"/>
    </xf>
    <xf numFmtId="166" fontId="1" fillId="13" borderId="44" xfId="0" applyNumberFormat="1" applyFont="1" applyFill="1" applyBorder="1" applyAlignment="1" applyProtection="1">
      <alignment horizontal="center"/>
      <protection locked="0"/>
    </xf>
    <xf numFmtId="166" fontId="1" fillId="13" borderId="10" xfId="0" applyNumberFormat="1" applyFont="1" applyFill="1" applyBorder="1" applyAlignment="1" applyProtection="1">
      <alignment horizontal="center"/>
      <protection locked="0"/>
    </xf>
    <xf numFmtId="0" fontId="1" fillId="13" borderId="10" xfId="0" applyFont="1" applyFill="1" applyBorder="1" applyAlignment="1">
      <alignment horizontal="center" vertical="top"/>
    </xf>
    <xf numFmtId="166" fontId="1" fillId="13" borderId="11" xfId="0" applyNumberFormat="1" applyFont="1" applyFill="1" applyBorder="1" applyAlignment="1" applyProtection="1">
      <alignment horizontal="center"/>
      <protection locked="0"/>
    </xf>
    <xf numFmtId="2" fontId="1" fillId="13" borderId="22" xfId="0" applyNumberFormat="1" applyFont="1" applyFill="1" applyBorder="1" applyAlignment="1" applyProtection="1">
      <alignment horizontal="center"/>
      <protection locked="0"/>
    </xf>
    <xf numFmtId="0" fontId="1" fillId="13" borderId="21" xfId="0" applyFont="1" applyFill="1" applyBorder="1" applyAlignment="1">
      <alignment horizontal="center" vertical="top"/>
    </xf>
    <xf numFmtId="166" fontId="1" fillId="13" borderId="21" xfId="0" applyNumberFormat="1" applyFont="1" applyFill="1" applyBorder="1" applyAlignment="1" applyProtection="1">
      <alignment horizontal="center"/>
      <protection locked="0"/>
    </xf>
    <xf numFmtId="0" fontId="1" fillId="13" borderId="11" xfId="0" applyFont="1" applyFill="1" applyBorder="1" applyAlignment="1">
      <alignment horizontal="center"/>
    </xf>
    <xf numFmtId="0" fontId="1" fillId="13" borderId="27" xfId="0" applyFont="1" applyFill="1" applyBorder="1" applyAlignment="1">
      <alignment horizontal="center"/>
    </xf>
    <xf numFmtId="166" fontId="1" fillId="13" borderId="22" xfId="0" applyNumberFormat="1" applyFont="1" applyFill="1" applyBorder="1" applyAlignment="1" applyProtection="1">
      <alignment horizontal="center"/>
      <protection locked="0"/>
    </xf>
    <xf numFmtId="165" fontId="1" fillId="13" borderId="44" xfId="0" applyNumberFormat="1" applyFont="1" applyFill="1" applyBorder="1" applyAlignment="1" applyProtection="1">
      <alignment horizontal="center"/>
      <protection locked="0"/>
    </xf>
    <xf numFmtId="0" fontId="1" fillId="13" borderId="14" xfId="0" applyFont="1" applyFill="1" applyBorder="1" applyAlignment="1">
      <alignment horizontal="center" vertical="top"/>
    </xf>
    <xf numFmtId="0" fontId="1" fillId="13" borderId="10" xfId="0" applyFont="1" applyFill="1" applyBorder="1" applyAlignment="1">
      <alignment/>
    </xf>
    <xf numFmtId="0" fontId="1" fillId="13" borderId="28" xfId="0" applyFont="1" applyFill="1" applyBorder="1" applyAlignment="1">
      <alignment/>
    </xf>
    <xf numFmtId="166" fontId="1" fillId="13" borderId="28" xfId="0" applyNumberFormat="1" applyFont="1" applyFill="1" applyBorder="1" applyAlignment="1">
      <alignment horizontal="center"/>
    </xf>
    <xf numFmtId="165" fontId="1" fillId="13" borderId="28" xfId="0" applyNumberFormat="1" applyFont="1" applyFill="1" applyBorder="1" applyAlignment="1">
      <alignment horizontal="center"/>
    </xf>
    <xf numFmtId="1" fontId="1" fillId="13" borderId="28" xfId="0" applyNumberFormat="1" applyFont="1" applyFill="1" applyBorder="1" applyAlignment="1">
      <alignment horizontal="center"/>
    </xf>
    <xf numFmtId="167" fontId="1" fillId="13" borderId="28" xfId="0" applyNumberFormat="1" applyFont="1" applyFill="1" applyBorder="1" applyAlignment="1">
      <alignment horizontal="center"/>
    </xf>
    <xf numFmtId="2" fontId="1" fillId="13" borderId="28" xfId="0" applyNumberFormat="1" applyFont="1" applyFill="1" applyBorder="1" applyAlignment="1">
      <alignment horizontal="center"/>
    </xf>
    <xf numFmtId="2" fontId="1" fillId="13" borderId="36" xfId="0" applyNumberFormat="1" applyFont="1" applyFill="1" applyBorder="1" applyAlignment="1">
      <alignment horizontal="center"/>
    </xf>
    <xf numFmtId="0" fontId="1" fillId="13" borderId="22" xfId="0" applyFont="1" applyFill="1" applyBorder="1" applyAlignment="1">
      <alignment/>
    </xf>
    <xf numFmtId="164" fontId="1" fillId="13" borderId="10" xfId="0" applyNumberFormat="1" applyFont="1" applyFill="1" applyBorder="1" applyAlignment="1" applyProtection="1">
      <alignment horizontal="center"/>
      <protection locked="0"/>
    </xf>
    <xf numFmtId="0" fontId="1" fillId="13" borderId="21" xfId="62" applyFont="1" applyFill="1" applyBorder="1" applyAlignment="1">
      <alignment horizontal="left"/>
      <protection/>
    </xf>
    <xf numFmtId="0" fontId="1" fillId="13" borderId="21" xfId="62" applyFont="1" applyFill="1" applyBorder="1" applyAlignment="1">
      <alignment horizontal="center"/>
      <protection/>
    </xf>
    <xf numFmtId="165" fontId="1" fillId="13" borderId="28" xfId="62" applyNumberFormat="1" applyFont="1" applyFill="1" applyBorder="1" applyAlignment="1">
      <alignment horizontal="center"/>
      <protection/>
    </xf>
    <xf numFmtId="165" fontId="1" fillId="13" borderId="21" xfId="62" applyNumberFormat="1" applyFont="1" applyFill="1" applyBorder="1" applyAlignment="1">
      <alignment horizontal="center"/>
      <protection/>
    </xf>
    <xf numFmtId="1" fontId="1" fillId="13" borderId="21" xfId="62" applyNumberFormat="1" applyFont="1" applyFill="1" applyBorder="1" applyAlignment="1">
      <alignment horizontal="center"/>
      <protection/>
    </xf>
    <xf numFmtId="167" fontId="1" fillId="13" borderId="44" xfId="62" applyNumberFormat="1" applyFont="1" applyFill="1" applyBorder="1" applyAlignment="1">
      <alignment horizontal="center"/>
      <protection/>
    </xf>
    <xf numFmtId="2" fontId="1" fillId="13" borderId="44" xfId="62" applyNumberFormat="1" applyFont="1" applyFill="1" applyBorder="1" applyAlignment="1">
      <alignment horizontal="center"/>
      <protection/>
    </xf>
    <xf numFmtId="2" fontId="1" fillId="13" borderId="28" xfId="62" applyNumberFormat="1" applyFont="1" applyFill="1" applyBorder="1" applyAlignment="1">
      <alignment horizontal="center"/>
      <protection/>
    </xf>
    <xf numFmtId="2" fontId="1" fillId="13" borderId="54" xfId="62" applyNumberFormat="1" applyFont="1" applyFill="1" applyBorder="1" applyAlignment="1">
      <alignment horizontal="center"/>
      <protection/>
    </xf>
    <xf numFmtId="2" fontId="1" fillId="13" borderId="56" xfId="62" applyNumberFormat="1" applyFont="1" applyFill="1" applyBorder="1" applyAlignment="1">
      <alignment horizontal="center"/>
      <protection/>
    </xf>
    <xf numFmtId="0" fontId="1" fillId="13" borderId="10" xfId="62" applyFont="1" applyFill="1" applyBorder="1" applyAlignment="1">
      <alignment horizontal="left"/>
      <protection/>
    </xf>
    <xf numFmtId="0" fontId="1" fillId="13" borderId="10" xfId="62" applyFont="1" applyFill="1" applyBorder="1" applyAlignment="1">
      <alignment horizontal="center"/>
      <protection/>
    </xf>
    <xf numFmtId="165" fontId="1" fillId="13" borderId="10" xfId="62" applyNumberFormat="1" applyFont="1" applyFill="1" applyBorder="1" applyAlignment="1">
      <alignment horizontal="center"/>
      <protection/>
    </xf>
    <xf numFmtId="1" fontId="1" fillId="13" borderId="10" xfId="62" applyNumberFormat="1" applyFont="1" applyFill="1" applyBorder="1" applyAlignment="1">
      <alignment horizontal="center"/>
      <protection/>
    </xf>
    <xf numFmtId="167" fontId="1" fillId="13" borderId="10" xfId="62" applyNumberFormat="1" applyFont="1" applyFill="1" applyBorder="1" applyAlignment="1">
      <alignment horizontal="center"/>
      <protection/>
    </xf>
    <xf numFmtId="2" fontId="1" fillId="13" borderId="10" xfId="62" applyNumberFormat="1" applyFont="1" applyFill="1" applyBorder="1" applyAlignment="1">
      <alignment horizontal="center"/>
      <protection/>
    </xf>
    <xf numFmtId="0" fontId="1" fillId="13" borderId="28" xfId="0" applyFont="1" applyFill="1" applyBorder="1" applyAlignment="1" applyProtection="1">
      <alignment horizontal="left"/>
      <protection locked="0"/>
    </xf>
    <xf numFmtId="0" fontId="1" fillId="13" borderId="28" xfId="0" applyFont="1" applyFill="1" applyBorder="1" applyAlignment="1" applyProtection="1">
      <alignment horizontal="center"/>
      <protection locked="0"/>
    </xf>
    <xf numFmtId="1" fontId="1" fillId="13" borderId="28" xfId="0" applyNumberFormat="1" applyFont="1" applyFill="1" applyBorder="1" applyAlignment="1" applyProtection="1">
      <alignment horizontal="center"/>
      <protection locked="0"/>
    </xf>
    <xf numFmtId="0" fontId="1" fillId="13" borderId="22" xfId="0" applyFont="1" applyFill="1" applyBorder="1" applyAlignment="1" applyProtection="1">
      <alignment horizontal="left"/>
      <protection locked="0"/>
    </xf>
    <xf numFmtId="1" fontId="1" fillId="13" borderId="24" xfId="0" applyNumberFormat="1" applyFont="1" applyFill="1" applyBorder="1" applyAlignment="1" applyProtection="1">
      <alignment horizontal="center"/>
      <protection locked="0"/>
    </xf>
    <xf numFmtId="165" fontId="1" fillId="13" borderId="11" xfId="0" applyNumberFormat="1" applyFont="1" applyFill="1" applyBorder="1" applyAlignment="1" applyProtection="1">
      <alignment horizontal="center"/>
      <protection locked="0"/>
    </xf>
    <xf numFmtId="1" fontId="1" fillId="13" borderId="31" xfId="0" applyNumberFormat="1" applyFont="1" applyFill="1" applyBorder="1" applyAlignment="1" applyProtection="1">
      <alignment horizontal="center"/>
      <protection locked="0"/>
    </xf>
    <xf numFmtId="0" fontId="1" fillId="13" borderId="31" xfId="0" applyFont="1" applyFill="1" applyBorder="1" applyAlignment="1">
      <alignment/>
    </xf>
    <xf numFmtId="0" fontId="1" fillId="13" borderId="10" xfId="0" applyFont="1" applyFill="1" applyBorder="1" applyAlignment="1">
      <alignment horizontal="center" vertical="center"/>
    </xf>
    <xf numFmtId="165" fontId="1" fillId="13" borderId="10" xfId="0" applyNumberFormat="1" applyFont="1" applyFill="1" applyBorder="1" applyAlignment="1">
      <alignment horizontal="center" vertical="center"/>
    </xf>
    <xf numFmtId="0" fontId="1" fillId="13" borderId="21" xfId="0" applyFont="1" applyFill="1" applyBorder="1" applyAlignment="1">
      <alignment/>
    </xf>
    <xf numFmtId="165" fontId="1" fillId="13" borderId="21" xfId="0" applyNumberFormat="1" applyFont="1" applyFill="1" applyBorder="1" applyAlignment="1">
      <alignment horizontal="center"/>
    </xf>
    <xf numFmtId="1" fontId="1" fillId="13" borderId="21" xfId="0" applyNumberFormat="1" applyFont="1" applyFill="1" applyBorder="1" applyAlignment="1">
      <alignment horizontal="center"/>
    </xf>
    <xf numFmtId="167" fontId="1" fillId="13" borderId="33" xfId="0" applyNumberFormat="1" applyFont="1" applyFill="1" applyBorder="1" applyAlignment="1">
      <alignment horizontal="center"/>
    </xf>
    <xf numFmtId="2" fontId="1" fillId="13" borderId="21" xfId="0" applyNumberFormat="1" applyFont="1" applyFill="1" applyBorder="1" applyAlignment="1">
      <alignment horizontal="center"/>
    </xf>
    <xf numFmtId="2" fontId="1" fillId="13" borderId="37" xfId="0" applyNumberFormat="1" applyFont="1" applyFill="1" applyBorder="1" applyAlignment="1">
      <alignment horizontal="center"/>
    </xf>
    <xf numFmtId="167" fontId="1" fillId="13" borderId="35" xfId="0" applyNumberFormat="1" applyFont="1" applyFill="1" applyBorder="1" applyAlignment="1">
      <alignment horizontal="center"/>
    </xf>
    <xf numFmtId="0" fontId="1" fillId="13" borderId="11" xfId="0" applyFont="1" applyFill="1" applyBorder="1" applyAlignment="1">
      <alignment/>
    </xf>
    <xf numFmtId="165" fontId="1" fillId="13" borderId="11" xfId="0" applyNumberFormat="1" applyFont="1" applyFill="1" applyBorder="1" applyAlignment="1">
      <alignment horizontal="center"/>
    </xf>
    <xf numFmtId="1" fontId="1" fillId="13" borderId="11" xfId="0" applyNumberFormat="1" applyFont="1" applyFill="1" applyBorder="1" applyAlignment="1">
      <alignment horizontal="center"/>
    </xf>
    <xf numFmtId="167" fontId="1" fillId="13" borderId="46" xfId="0" applyNumberFormat="1" applyFont="1" applyFill="1" applyBorder="1" applyAlignment="1">
      <alignment horizontal="center"/>
    </xf>
    <xf numFmtId="2" fontId="1" fillId="13" borderId="32" xfId="0" applyNumberFormat="1" applyFont="1" applyFill="1" applyBorder="1" applyAlignment="1">
      <alignment horizontal="center"/>
    </xf>
    <xf numFmtId="2" fontId="1" fillId="13" borderId="43" xfId="0" applyNumberFormat="1" applyFont="1" applyFill="1" applyBorder="1" applyAlignment="1">
      <alignment horizontal="center"/>
    </xf>
    <xf numFmtId="0" fontId="3" fillId="13" borderId="22" xfId="0" applyFont="1" applyFill="1" applyBorder="1" applyAlignment="1">
      <alignment/>
    </xf>
    <xf numFmtId="165" fontId="1" fillId="13" borderId="22" xfId="0" applyNumberFormat="1" applyFont="1" applyFill="1" applyBorder="1" applyAlignment="1">
      <alignment/>
    </xf>
    <xf numFmtId="1" fontId="1" fillId="13" borderId="22" xfId="0" applyNumberFormat="1" applyFont="1" applyFill="1" applyBorder="1" applyAlignment="1">
      <alignment/>
    </xf>
    <xf numFmtId="167" fontId="1" fillId="13" borderId="22" xfId="0" applyNumberFormat="1" applyFont="1" applyFill="1" applyBorder="1" applyAlignment="1">
      <alignment/>
    </xf>
    <xf numFmtId="2" fontId="1" fillId="13" borderId="22" xfId="0" applyNumberFormat="1" applyFont="1" applyFill="1" applyBorder="1" applyAlignment="1">
      <alignment/>
    </xf>
    <xf numFmtId="0" fontId="1" fillId="13" borderId="26" xfId="0" applyFont="1" applyFill="1" applyBorder="1" applyAlignment="1">
      <alignment/>
    </xf>
    <xf numFmtId="165" fontId="1" fillId="13" borderId="44" xfId="0" applyNumberFormat="1" applyFont="1" applyFill="1" applyBorder="1" applyAlignment="1">
      <alignment horizontal="center"/>
    </xf>
    <xf numFmtId="2" fontId="1" fillId="13" borderId="45" xfId="0" applyNumberFormat="1" applyFont="1" applyFill="1" applyBorder="1" applyAlignment="1">
      <alignment horizontal="center"/>
    </xf>
    <xf numFmtId="2" fontId="1" fillId="13" borderId="47" xfId="0" applyNumberFormat="1" applyFont="1" applyFill="1" applyBorder="1" applyAlignment="1">
      <alignment horizontal="center"/>
    </xf>
    <xf numFmtId="2" fontId="1" fillId="13" borderId="46" xfId="0" applyNumberFormat="1" applyFont="1" applyFill="1" applyBorder="1" applyAlignment="1">
      <alignment horizontal="center"/>
    </xf>
    <xf numFmtId="165" fontId="1" fillId="13" borderId="32" xfId="0" applyNumberFormat="1" applyFont="1" applyFill="1" applyBorder="1" applyAlignment="1">
      <alignment horizontal="center"/>
    </xf>
    <xf numFmtId="2" fontId="1" fillId="13" borderId="35" xfId="0" applyNumberFormat="1" applyFont="1" applyFill="1" applyBorder="1" applyAlignment="1">
      <alignment horizontal="center"/>
    </xf>
    <xf numFmtId="2" fontId="1" fillId="13" borderId="28" xfId="0" applyNumberFormat="1" applyFont="1" applyFill="1" applyBorder="1" applyAlignment="1" applyProtection="1">
      <alignment horizontal="left" indent="3"/>
      <protection/>
    </xf>
    <xf numFmtId="2" fontId="1" fillId="13" borderId="10" xfId="0" applyNumberFormat="1" applyFont="1" applyFill="1" applyBorder="1" applyAlignment="1" applyProtection="1">
      <alignment horizontal="left" indent="3"/>
      <protection/>
    </xf>
    <xf numFmtId="2" fontId="1" fillId="13" borderId="22" xfId="0" applyNumberFormat="1" applyFont="1" applyFill="1" applyBorder="1" applyAlignment="1" applyProtection="1">
      <alignment horizontal="left" indent="3"/>
      <protection/>
    </xf>
    <xf numFmtId="167" fontId="1" fillId="13" borderId="21" xfId="0" applyNumberFormat="1" applyFont="1" applyFill="1" applyBorder="1" applyAlignment="1">
      <alignment horizontal="center"/>
    </xf>
    <xf numFmtId="2" fontId="1" fillId="13" borderId="14" xfId="0" applyNumberFormat="1" applyFont="1" applyFill="1" applyBorder="1" applyAlignment="1">
      <alignment horizontal="center"/>
    </xf>
    <xf numFmtId="2" fontId="1" fillId="13" borderId="11" xfId="0" applyNumberFormat="1" applyFont="1" applyFill="1" applyBorder="1" applyAlignment="1">
      <alignment horizontal="center"/>
    </xf>
    <xf numFmtId="0" fontId="1" fillId="13" borderId="34" xfId="0" applyFont="1" applyFill="1" applyBorder="1" applyAlignment="1" applyProtection="1">
      <alignment horizontal="center"/>
      <protection locked="0"/>
    </xf>
    <xf numFmtId="165" fontId="9" fillId="13" borderId="28" xfId="0" applyNumberFormat="1" applyFont="1" applyFill="1" applyBorder="1" applyAlignment="1" applyProtection="1">
      <alignment horizontal="center" vertical="top"/>
      <protection locked="0"/>
    </xf>
    <xf numFmtId="1" fontId="9" fillId="13" borderId="28" xfId="0" applyNumberFormat="1" applyFont="1" applyFill="1" applyBorder="1" applyAlignment="1" applyProtection="1">
      <alignment horizontal="center" vertical="top"/>
      <protection locked="0"/>
    </xf>
    <xf numFmtId="1" fontId="9" fillId="13" borderId="54" xfId="0" applyNumberFormat="1" applyFont="1" applyFill="1" applyBorder="1" applyAlignment="1" applyProtection="1">
      <alignment horizontal="center" vertical="top"/>
      <protection locked="0"/>
    </xf>
    <xf numFmtId="0" fontId="1" fillId="13" borderId="31" xfId="0" applyFont="1" applyFill="1" applyBorder="1" applyAlignment="1" applyProtection="1">
      <alignment horizontal="center"/>
      <protection locked="0"/>
    </xf>
    <xf numFmtId="165" fontId="9" fillId="13" borderId="10" xfId="0" applyNumberFormat="1" applyFont="1" applyFill="1" applyBorder="1" applyAlignment="1" applyProtection="1">
      <alignment horizontal="center" vertical="top"/>
      <protection locked="0"/>
    </xf>
    <xf numFmtId="1" fontId="9" fillId="13" borderId="10" xfId="0" applyNumberFormat="1" applyFont="1" applyFill="1" applyBorder="1" applyAlignment="1" applyProtection="1">
      <alignment horizontal="center" vertical="top"/>
      <protection locked="0"/>
    </xf>
    <xf numFmtId="1" fontId="9" fillId="13" borderId="30" xfId="0" applyNumberFormat="1" applyFont="1" applyFill="1" applyBorder="1" applyAlignment="1" applyProtection="1">
      <alignment horizontal="center" vertical="top"/>
      <protection locked="0"/>
    </xf>
    <xf numFmtId="0" fontId="1" fillId="13" borderId="22" xfId="0" applyFont="1" applyFill="1" applyBorder="1" applyAlignment="1">
      <alignment horizontal="center" vertical="top"/>
    </xf>
    <xf numFmtId="165" fontId="9" fillId="13" borderId="22" xfId="0" applyNumberFormat="1" applyFont="1" applyFill="1" applyBorder="1" applyAlignment="1" applyProtection="1">
      <alignment horizontal="center" vertical="top"/>
      <protection locked="0"/>
    </xf>
    <xf numFmtId="1" fontId="9" fillId="13" borderId="22" xfId="0" applyNumberFormat="1" applyFont="1" applyFill="1" applyBorder="1" applyAlignment="1" applyProtection="1">
      <alignment horizontal="center" vertical="top"/>
      <protection locked="0"/>
    </xf>
    <xf numFmtId="1" fontId="9" fillId="13" borderId="29" xfId="0" applyNumberFormat="1" applyFont="1" applyFill="1" applyBorder="1" applyAlignment="1" applyProtection="1">
      <alignment horizontal="center" vertical="top"/>
      <protection locked="0"/>
    </xf>
    <xf numFmtId="3" fontId="9" fillId="33" borderId="34" xfId="0" applyNumberFormat="1" applyFont="1" applyFill="1" applyBorder="1" applyAlignment="1" applyProtection="1">
      <alignment horizontal="center" vertical="top"/>
      <protection locked="0"/>
    </xf>
    <xf numFmtId="3" fontId="9" fillId="33" borderId="31" xfId="0" applyNumberFormat="1" applyFont="1" applyFill="1" applyBorder="1" applyAlignment="1" applyProtection="1">
      <alignment horizontal="center" vertical="top"/>
      <protection locked="0"/>
    </xf>
    <xf numFmtId="3" fontId="9" fillId="33" borderId="15" xfId="0" applyNumberFormat="1" applyFont="1" applyFill="1" applyBorder="1" applyAlignment="1" applyProtection="1">
      <alignment horizontal="center" vertical="top"/>
      <protection locked="0"/>
    </xf>
    <xf numFmtId="3" fontId="9" fillId="13" borderId="50" xfId="0" applyNumberFormat="1" applyFont="1" applyFill="1" applyBorder="1" applyAlignment="1" applyProtection="1">
      <alignment horizontal="center" vertical="top"/>
      <protection locked="0"/>
    </xf>
    <xf numFmtId="3" fontId="9" fillId="13" borderId="31" xfId="0" applyNumberFormat="1" applyFont="1" applyFill="1" applyBorder="1" applyAlignment="1" applyProtection="1">
      <alignment horizontal="center" vertical="top"/>
      <protection locked="0"/>
    </xf>
    <xf numFmtId="0" fontId="1" fillId="33" borderId="31" xfId="0" applyFont="1" applyFill="1" applyBorder="1" applyAlignment="1" applyProtection="1">
      <alignment vertical="top"/>
      <protection locked="0"/>
    </xf>
    <xf numFmtId="0" fontId="1" fillId="33" borderId="15" xfId="0" applyFont="1" applyFill="1" applyBorder="1" applyAlignment="1" applyProtection="1">
      <alignment vertical="top"/>
      <protection locked="0"/>
    </xf>
    <xf numFmtId="0" fontId="1" fillId="33" borderId="59" xfId="0" applyFont="1" applyFill="1" applyBorder="1" applyAlignment="1" applyProtection="1">
      <alignment vertical="top"/>
      <protection locked="0"/>
    </xf>
    <xf numFmtId="3" fontId="9" fillId="33" borderId="21" xfId="0" applyNumberFormat="1" applyFont="1" applyFill="1" applyBorder="1" applyAlignment="1" applyProtection="1">
      <alignment horizontal="center" vertical="top"/>
      <protection locked="0"/>
    </xf>
    <xf numFmtId="0" fontId="1" fillId="13" borderId="50" xfId="0" applyFont="1" applyFill="1" applyBorder="1" applyAlignment="1" applyProtection="1">
      <alignment vertical="top"/>
      <protection locked="0"/>
    </xf>
    <xf numFmtId="0" fontId="1" fillId="13" borderId="31" xfId="0" applyFont="1" applyFill="1" applyBorder="1" applyAlignment="1" applyProtection="1">
      <alignment vertical="top"/>
      <protection locked="0"/>
    </xf>
    <xf numFmtId="3" fontId="9" fillId="13" borderId="34" xfId="0" applyNumberFormat="1" applyFont="1" applyFill="1" applyBorder="1" applyAlignment="1" applyProtection="1">
      <alignment horizontal="center" vertical="top"/>
      <protection locked="0"/>
    </xf>
    <xf numFmtId="3" fontId="9" fillId="13" borderId="15" xfId="0" applyNumberFormat="1" applyFont="1" applyFill="1" applyBorder="1" applyAlignment="1" applyProtection="1">
      <alignment horizontal="center" vertical="top"/>
      <protection locked="0"/>
    </xf>
    <xf numFmtId="3" fontId="9" fillId="34" borderId="48" xfId="0" applyNumberFormat="1" applyFont="1" applyFill="1" applyBorder="1" applyAlignment="1" applyProtection="1">
      <alignment horizontal="center" vertical="top"/>
      <protection locked="0"/>
    </xf>
    <xf numFmtId="3" fontId="1" fillId="35" borderId="34" xfId="0" applyNumberFormat="1" applyFont="1" applyFill="1" applyBorder="1" applyAlignment="1" applyProtection="1">
      <alignment horizontal="center" vertical="top"/>
      <protection locked="0"/>
    </xf>
    <xf numFmtId="3" fontId="1" fillId="35" borderId="31" xfId="0" applyNumberFormat="1" applyFont="1" applyFill="1" applyBorder="1" applyAlignment="1" applyProtection="1">
      <alignment horizontal="center" vertical="top"/>
      <protection locked="0"/>
    </xf>
    <xf numFmtId="3" fontId="1" fillId="35" borderId="60" xfId="0" applyNumberFormat="1" applyFont="1" applyFill="1" applyBorder="1" applyAlignment="1" applyProtection="1">
      <alignment horizontal="center" vertical="top"/>
      <protection locked="0"/>
    </xf>
    <xf numFmtId="3" fontId="1" fillId="35" borderId="48" xfId="0" applyNumberFormat="1" applyFont="1" applyFill="1" applyBorder="1" applyAlignment="1" applyProtection="1">
      <alignment horizontal="center" vertical="top"/>
      <protection locked="0"/>
    </xf>
    <xf numFmtId="0" fontId="1" fillId="13" borderId="15" xfId="0" applyFont="1" applyFill="1" applyBorder="1" applyAlignment="1" applyProtection="1">
      <alignment vertical="top"/>
      <protection locked="0"/>
    </xf>
    <xf numFmtId="0" fontId="1" fillId="35" borderId="50" xfId="0" applyFont="1" applyFill="1" applyBorder="1" applyAlignment="1" applyProtection="1">
      <alignment vertical="top"/>
      <protection locked="0"/>
    </xf>
    <xf numFmtId="0" fontId="1" fillId="35" borderId="31" xfId="0" applyFont="1" applyFill="1" applyBorder="1" applyAlignment="1" applyProtection="1">
      <alignment vertical="top"/>
      <protection locked="0"/>
    </xf>
    <xf numFmtId="0" fontId="1" fillId="35" borderId="15" xfId="0" applyFont="1" applyFill="1" applyBorder="1" applyAlignment="1" applyProtection="1">
      <alignment vertical="top"/>
      <protection locked="0"/>
    </xf>
    <xf numFmtId="0" fontId="1" fillId="13" borderId="53" xfId="0" applyFont="1" applyFill="1" applyBorder="1" applyAlignment="1" applyProtection="1">
      <alignment/>
      <protection locked="0"/>
    </xf>
    <xf numFmtId="0" fontId="1" fillId="13" borderId="21" xfId="0" applyFont="1" applyFill="1" applyBorder="1" applyAlignment="1" applyProtection="1">
      <alignment horizontal="center"/>
      <protection locked="0"/>
    </xf>
    <xf numFmtId="167" fontId="1" fillId="13" borderId="21" xfId="0" applyNumberFormat="1" applyFont="1" applyFill="1" applyBorder="1" applyAlignment="1" applyProtection="1">
      <alignment horizontal="center"/>
      <protection/>
    </xf>
    <xf numFmtId="2" fontId="1" fillId="13" borderId="21" xfId="0" applyNumberFormat="1" applyFont="1" applyFill="1" applyBorder="1" applyAlignment="1" applyProtection="1">
      <alignment horizontal="center"/>
      <protection locked="0"/>
    </xf>
    <xf numFmtId="2" fontId="1" fillId="13" borderId="21" xfId="0" applyNumberFormat="1" applyFont="1" applyFill="1" applyBorder="1" applyAlignment="1" applyProtection="1">
      <alignment horizontal="center"/>
      <protection/>
    </xf>
    <xf numFmtId="2" fontId="1" fillId="13" borderId="37" xfId="0" applyNumberFormat="1" applyFont="1" applyFill="1" applyBorder="1" applyAlignment="1" applyProtection="1">
      <alignment horizontal="center"/>
      <protection/>
    </xf>
    <xf numFmtId="0" fontId="1" fillId="13" borderId="51" xfId="0" applyFont="1" applyFill="1" applyBorder="1" applyAlignment="1" applyProtection="1">
      <alignment/>
      <protection locked="0"/>
    </xf>
    <xf numFmtId="0" fontId="1" fillId="13" borderId="10" xfId="0" applyFont="1" applyFill="1" applyBorder="1" applyAlignment="1" applyProtection="1">
      <alignment horizontal="center"/>
      <protection locked="0"/>
    </xf>
    <xf numFmtId="0" fontId="1" fillId="13" borderId="51" xfId="0" applyFont="1" applyFill="1" applyBorder="1" applyAlignment="1" applyProtection="1">
      <alignment/>
      <protection locked="0"/>
    </xf>
    <xf numFmtId="0" fontId="1" fillId="13" borderId="52" xfId="0" applyFont="1" applyFill="1" applyBorder="1" applyAlignment="1" applyProtection="1">
      <alignment/>
      <protection locked="0"/>
    </xf>
    <xf numFmtId="165" fontId="1" fillId="13" borderId="14" xfId="0" applyNumberFormat="1" applyFont="1" applyFill="1" applyBorder="1" applyAlignment="1" applyProtection="1">
      <alignment horizontal="center"/>
      <protection locked="0"/>
    </xf>
    <xf numFmtId="0" fontId="1" fillId="13" borderId="10" xfId="0" applyFont="1" applyFill="1" applyBorder="1" applyAlignment="1" applyProtection="1">
      <alignment horizontal="left"/>
      <protection locked="0"/>
    </xf>
    <xf numFmtId="0" fontId="1" fillId="13" borderId="10" xfId="0" applyFont="1" applyFill="1" applyBorder="1" applyAlignment="1" applyProtection="1">
      <alignment/>
      <protection locked="0"/>
    </xf>
    <xf numFmtId="165" fontId="1" fillId="13" borderId="50" xfId="0" applyNumberFormat="1" applyFont="1" applyFill="1" applyBorder="1" applyAlignment="1" applyProtection="1">
      <alignment horizontal="center"/>
      <protection locked="0"/>
    </xf>
    <xf numFmtId="165" fontId="1" fillId="13" borderId="31" xfId="0" applyNumberFormat="1" applyFont="1" applyFill="1" applyBorder="1" applyAlignment="1" applyProtection="1">
      <alignment horizontal="center"/>
      <protection locked="0"/>
    </xf>
    <xf numFmtId="165" fontId="1" fillId="13" borderId="48" xfId="0" applyNumberFormat="1" applyFont="1" applyFill="1" applyBorder="1" applyAlignment="1" applyProtection="1">
      <alignment horizontal="center"/>
      <protection locked="0"/>
    </xf>
    <xf numFmtId="2" fontId="1" fillId="13" borderId="14" xfId="0" applyNumberFormat="1" applyFont="1" applyFill="1" applyBorder="1" applyAlignment="1" applyProtection="1">
      <alignment horizontal="center"/>
      <protection locked="0"/>
    </xf>
    <xf numFmtId="0" fontId="1" fillId="13" borderId="10" xfId="58" applyFont="1" applyFill="1" applyBorder="1" applyAlignment="1">
      <alignment horizontal="left" vertical="top" wrapText="1"/>
      <protection/>
    </xf>
    <xf numFmtId="3" fontId="1" fillId="13" borderId="10" xfId="58" applyNumberFormat="1" applyFont="1" applyFill="1" applyBorder="1" applyAlignment="1">
      <alignment horizontal="center" vertical="top" wrapText="1"/>
      <protection/>
    </xf>
    <xf numFmtId="165" fontId="1" fillId="13" borderId="10" xfId="58" applyNumberFormat="1" applyFont="1" applyFill="1" applyBorder="1" applyAlignment="1">
      <alignment horizontal="center" vertical="top" wrapText="1"/>
      <protection/>
    </xf>
    <xf numFmtId="1" fontId="1" fillId="13" borderId="10" xfId="58" applyNumberFormat="1" applyFont="1" applyFill="1" applyBorder="1" applyAlignment="1">
      <alignment horizontal="center" vertical="top" wrapText="1"/>
      <protection/>
    </xf>
    <xf numFmtId="167" fontId="1" fillId="13" borderId="44" xfId="0" applyNumberFormat="1" applyFont="1" applyFill="1" applyBorder="1" applyAlignment="1">
      <alignment horizontal="center"/>
    </xf>
    <xf numFmtId="2" fontId="1" fillId="13" borderId="44" xfId="0" applyNumberFormat="1" applyFont="1" applyFill="1" applyBorder="1" applyAlignment="1">
      <alignment horizontal="center"/>
    </xf>
    <xf numFmtId="0" fontId="9" fillId="13" borderId="10" xfId="58" applyFont="1" applyFill="1" applyBorder="1" applyAlignment="1">
      <alignment horizontal="left" vertical="top" wrapText="1"/>
      <protection/>
    </xf>
    <xf numFmtId="3" fontId="9" fillId="13" borderId="10" xfId="58" applyNumberFormat="1" applyFont="1" applyFill="1" applyBorder="1" applyAlignment="1">
      <alignment horizontal="center" vertical="top" wrapText="1"/>
      <protection/>
    </xf>
    <xf numFmtId="165" fontId="9" fillId="13" borderId="10" xfId="58" applyNumberFormat="1" applyFont="1" applyFill="1" applyBorder="1" applyAlignment="1">
      <alignment horizontal="center" vertical="top" wrapText="1"/>
      <protection/>
    </xf>
    <xf numFmtId="1" fontId="9" fillId="13" borderId="10" xfId="58" applyNumberFormat="1" applyFont="1" applyFill="1" applyBorder="1" applyAlignment="1">
      <alignment horizontal="center" vertical="top" wrapText="1"/>
      <protection/>
    </xf>
    <xf numFmtId="0" fontId="1" fillId="13" borderId="28" xfId="0" applyFont="1" applyFill="1" applyBorder="1" applyAlignment="1">
      <alignment horizontal="center" vertical="top"/>
    </xf>
    <xf numFmtId="0" fontId="1" fillId="13" borderId="10" xfId="0" applyFont="1" applyFill="1" applyBorder="1" applyAlignment="1" applyProtection="1">
      <alignment/>
      <protection locked="0"/>
    </xf>
    <xf numFmtId="0" fontId="1" fillId="13" borderId="22" xfId="0" applyFont="1" applyFill="1" applyBorder="1" applyAlignment="1" applyProtection="1">
      <alignment/>
      <protection locked="0"/>
    </xf>
    <xf numFmtId="0" fontId="1" fillId="13" borderId="21" xfId="0" applyFont="1" applyFill="1" applyBorder="1" applyAlignment="1" applyProtection="1">
      <alignment/>
      <protection locked="0"/>
    </xf>
    <xf numFmtId="1" fontId="1" fillId="13" borderId="14" xfId="0" applyNumberFormat="1" applyFont="1" applyFill="1" applyBorder="1" applyAlignment="1" applyProtection="1">
      <alignment horizontal="center"/>
      <protection locked="0"/>
    </xf>
    <xf numFmtId="0" fontId="1" fillId="13" borderId="34" xfId="0" applyFont="1" applyFill="1" applyBorder="1" applyAlignment="1">
      <alignment/>
    </xf>
    <xf numFmtId="0" fontId="1" fillId="13" borderId="57" xfId="0" applyFont="1" applyFill="1" applyBorder="1" applyAlignment="1">
      <alignment/>
    </xf>
    <xf numFmtId="167" fontId="1" fillId="13" borderId="11" xfId="0" applyNumberFormat="1" applyFont="1" applyFill="1" applyBorder="1" applyAlignment="1">
      <alignment horizontal="center"/>
    </xf>
    <xf numFmtId="2" fontId="1" fillId="13" borderId="12" xfId="0" applyNumberFormat="1" applyFont="1" applyFill="1" applyBorder="1" applyAlignment="1">
      <alignment horizontal="center"/>
    </xf>
    <xf numFmtId="0" fontId="1" fillId="13" borderId="21" xfId="0" applyFont="1" applyFill="1" applyBorder="1" applyAlignment="1">
      <alignment horizontal="center"/>
    </xf>
    <xf numFmtId="0" fontId="1" fillId="13" borderId="10" xfId="0" applyFont="1" applyFill="1" applyBorder="1" applyAlignment="1">
      <alignment horizontal="center"/>
    </xf>
    <xf numFmtId="0" fontId="1" fillId="13" borderId="22" xfId="0" applyFont="1" applyFill="1" applyBorder="1" applyAlignment="1">
      <alignment horizontal="center"/>
    </xf>
    <xf numFmtId="0" fontId="4" fillId="33" borderId="53" xfId="0" applyFont="1" applyFill="1" applyBorder="1" applyAlignment="1" applyProtection="1">
      <alignment horizontal="center" vertical="center" textRotation="90" wrapText="1"/>
      <protection locked="0"/>
    </xf>
    <xf numFmtId="0" fontId="1" fillId="33" borderId="51" xfId="0" applyFont="1" applyFill="1" applyBorder="1" applyAlignment="1" applyProtection="1">
      <alignment horizontal="center" vertical="center" textRotation="90" wrapText="1"/>
      <protection locked="0"/>
    </xf>
    <xf numFmtId="0" fontId="4" fillId="36" borderId="61" xfId="0" applyFont="1" applyFill="1" applyBorder="1" applyAlignment="1" applyProtection="1">
      <alignment horizontal="center" vertical="center" textRotation="90" wrapText="1"/>
      <protection locked="0"/>
    </xf>
    <xf numFmtId="0" fontId="1" fillId="36" borderId="51" xfId="0" applyFont="1" applyFill="1" applyBorder="1" applyAlignment="1" applyProtection="1">
      <alignment horizontal="center" vertical="center" textRotation="90" wrapText="1"/>
      <protection locked="0"/>
    </xf>
    <xf numFmtId="0" fontId="1" fillId="36" borderId="52" xfId="0" applyFont="1" applyFill="1" applyBorder="1" applyAlignment="1" applyProtection="1">
      <alignment horizontal="center" vertical="center" textRotation="90" wrapText="1"/>
      <protection locked="0"/>
    </xf>
    <xf numFmtId="0" fontId="4" fillId="34" borderId="53" xfId="0" applyFont="1" applyFill="1" applyBorder="1" applyAlignment="1" applyProtection="1">
      <alignment horizontal="center" vertical="center" textRotation="90" wrapText="1"/>
      <protection locked="0"/>
    </xf>
    <xf numFmtId="0" fontId="1" fillId="34" borderId="51" xfId="0" applyFont="1" applyFill="1" applyBorder="1" applyAlignment="1" applyProtection="1">
      <alignment horizontal="center" vertical="center" textRotation="90" wrapText="1"/>
      <protection locked="0"/>
    </xf>
    <xf numFmtId="0" fontId="1" fillId="34" borderId="52" xfId="0" applyFont="1" applyFill="1" applyBorder="1" applyAlignment="1" applyProtection="1">
      <alignment horizontal="center" vertical="center" textRotation="90" wrapText="1"/>
      <protection locked="0"/>
    </xf>
    <xf numFmtId="0" fontId="4" fillId="35" borderId="53" xfId="0" applyFont="1" applyFill="1" applyBorder="1" applyAlignment="1" applyProtection="1">
      <alignment horizontal="center" vertical="center" textRotation="90" wrapText="1"/>
      <protection locked="0"/>
    </xf>
    <xf numFmtId="0" fontId="1" fillId="35" borderId="51" xfId="0" applyFont="1" applyFill="1" applyBorder="1" applyAlignment="1" applyProtection="1">
      <alignment horizontal="center" vertical="center" textRotation="90" wrapText="1"/>
      <protection locked="0"/>
    </xf>
    <xf numFmtId="0" fontId="1" fillId="35" borderId="52" xfId="0" applyFont="1" applyFill="1" applyBorder="1" applyAlignment="1" applyProtection="1">
      <alignment horizontal="center" vertical="center" textRotation="90" wrapText="1"/>
      <protection locked="0"/>
    </xf>
    <xf numFmtId="0" fontId="1" fillId="33" borderId="62" xfId="0" applyFont="1" applyFill="1" applyBorder="1" applyAlignment="1">
      <alignment horizontal="center" vertical="center" textRotation="90" wrapText="1"/>
    </xf>
    <xf numFmtId="0" fontId="1" fillId="33" borderId="63" xfId="0" applyFont="1" applyFill="1" applyBorder="1" applyAlignment="1">
      <alignment horizontal="center" vertical="center" textRotation="90" wrapText="1"/>
    </xf>
    <xf numFmtId="0" fontId="4" fillId="34" borderId="59" xfId="0" applyFont="1" applyFill="1" applyBorder="1" applyAlignment="1">
      <alignment horizontal="center" vertical="center" textRotation="90" wrapText="1"/>
    </xf>
    <xf numFmtId="0" fontId="1" fillId="34" borderId="64" xfId="0" applyFont="1" applyFill="1" applyBorder="1" applyAlignment="1">
      <alignment horizontal="center" vertical="center" textRotation="90" wrapText="1"/>
    </xf>
    <xf numFmtId="0" fontId="1" fillId="34" borderId="65" xfId="0" applyFont="1" applyFill="1" applyBorder="1" applyAlignment="1">
      <alignment horizontal="center" vertical="center" textRotation="90" wrapText="1"/>
    </xf>
    <xf numFmtId="0" fontId="1" fillId="34" borderId="66" xfId="0" applyFont="1" applyFill="1" applyBorder="1" applyAlignment="1">
      <alignment horizontal="center" vertical="center" textRotation="90" wrapText="1"/>
    </xf>
    <xf numFmtId="0" fontId="1" fillId="33" borderId="67" xfId="0" applyFont="1" applyFill="1" applyBorder="1" applyAlignment="1">
      <alignment horizontal="center" vertical="center" textRotation="90" wrapText="1"/>
    </xf>
    <xf numFmtId="0" fontId="1" fillId="34" borderId="42" xfId="0" applyFont="1" applyFill="1" applyBorder="1" applyAlignment="1">
      <alignment horizontal="center" vertical="center" textRotation="90" wrapText="1"/>
    </xf>
    <xf numFmtId="0" fontId="1" fillId="34" borderId="0" xfId="0" applyFont="1" applyFill="1" applyBorder="1" applyAlignment="1">
      <alignment horizontal="center" vertical="center" textRotation="90" wrapText="1"/>
    </xf>
    <xf numFmtId="0" fontId="1" fillId="34" borderId="58" xfId="0" applyFont="1" applyFill="1" applyBorder="1" applyAlignment="1">
      <alignment horizontal="center" vertical="center" textRotation="90" wrapText="1"/>
    </xf>
    <xf numFmtId="0" fontId="4" fillId="33" borderId="53" xfId="0" applyFont="1" applyFill="1" applyBorder="1" applyAlignment="1">
      <alignment horizontal="center" vertical="center" textRotation="90" wrapText="1"/>
    </xf>
    <xf numFmtId="0" fontId="1" fillId="33" borderId="51" xfId="0" applyFont="1" applyFill="1" applyBorder="1" applyAlignment="1">
      <alignment horizontal="center" vertical="center" textRotation="90" wrapText="1"/>
    </xf>
    <xf numFmtId="0" fontId="1" fillId="33" borderId="52" xfId="0" applyFont="1" applyFill="1" applyBorder="1" applyAlignment="1">
      <alignment horizontal="center" vertical="center" textRotation="90" wrapText="1"/>
    </xf>
    <xf numFmtId="0" fontId="1" fillId="0" borderId="47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0" fontId="4" fillId="33" borderId="28" xfId="0" applyFont="1" applyFill="1" applyBorder="1" applyAlignment="1">
      <alignment horizontal="center" vertical="center" textRotation="90" wrapText="1"/>
    </xf>
    <xf numFmtId="0" fontId="1" fillId="33" borderId="10" xfId="0" applyFont="1" applyFill="1" applyBorder="1" applyAlignment="1">
      <alignment horizontal="center" vertical="center" textRotation="90" wrapText="1"/>
    </xf>
    <xf numFmtId="0" fontId="1" fillId="33" borderId="22" xfId="0" applyFont="1" applyFill="1" applyBorder="1" applyAlignment="1">
      <alignment horizontal="center" vertical="center" textRotation="90" wrapText="1"/>
    </xf>
    <xf numFmtId="0" fontId="4" fillId="13" borderId="28" xfId="0" applyFont="1" applyFill="1" applyBorder="1" applyAlignment="1">
      <alignment horizontal="center" vertical="center" textRotation="90" wrapText="1"/>
    </xf>
    <xf numFmtId="0" fontId="4" fillId="13" borderId="10" xfId="0" applyFont="1" applyFill="1" applyBorder="1" applyAlignment="1">
      <alignment horizontal="center" vertical="center" textRotation="90" wrapText="1"/>
    </xf>
    <xf numFmtId="0" fontId="4" fillId="13" borderId="22" xfId="0" applyFont="1" applyFill="1" applyBorder="1" applyAlignment="1">
      <alignment horizontal="center" vertical="center" textRotation="90" wrapText="1"/>
    </xf>
    <xf numFmtId="0" fontId="1" fillId="34" borderId="61" xfId="0" applyFont="1" applyFill="1" applyBorder="1" applyAlignment="1">
      <alignment horizontal="center" vertical="center" textRotation="90" wrapText="1"/>
    </xf>
    <xf numFmtId="0" fontId="1" fillId="34" borderId="51" xfId="0" applyFont="1" applyFill="1" applyBorder="1" applyAlignment="1">
      <alignment horizontal="center" vertical="center" textRotation="90" wrapText="1"/>
    </xf>
    <xf numFmtId="0" fontId="1" fillId="34" borderId="68" xfId="0" applyFont="1" applyFill="1" applyBorder="1" applyAlignment="1">
      <alignment horizontal="center" vertical="center" textRotation="90" wrapText="1"/>
    </xf>
    <xf numFmtId="0" fontId="1" fillId="34" borderId="52" xfId="0" applyFont="1" applyFill="1" applyBorder="1" applyAlignment="1">
      <alignment horizontal="center" vertical="center" textRotation="90" wrapText="1"/>
    </xf>
    <xf numFmtId="0" fontId="4" fillId="35" borderId="28" xfId="0" applyFont="1" applyFill="1" applyBorder="1" applyAlignment="1">
      <alignment horizontal="center" vertical="center" textRotation="90" wrapText="1"/>
    </xf>
    <xf numFmtId="0" fontId="1" fillId="35" borderId="10" xfId="0" applyFont="1" applyFill="1" applyBorder="1" applyAlignment="1">
      <alignment horizontal="center" vertical="center" textRotation="90" wrapText="1"/>
    </xf>
    <xf numFmtId="0" fontId="1" fillId="35" borderId="22" xfId="0" applyFont="1" applyFill="1" applyBorder="1" applyAlignment="1">
      <alignment horizontal="center" vertical="center" textRotation="90" wrapText="1"/>
    </xf>
    <xf numFmtId="0" fontId="1" fillId="0" borderId="44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4" fillId="35" borderId="69" xfId="0" applyFont="1" applyFill="1" applyBorder="1" applyAlignment="1">
      <alignment horizontal="center" vertical="center" textRotation="90" wrapText="1"/>
    </xf>
    <xf numFmtId="0" fontId="4" fillId="35" borderId="60" xfId="0" applyFont="1" applyFill="1" applyBorder="1" applyAlignment="1">
      <alignment horizontal="center" vertical="center" textRotation="90" wrapText="1"/>
    </xf>
    <xf numFmtId="0" fontId="4" fillId="35" borderId="15" xfId="0" applyFont="1" applyFill="1" applyBorder="1" applyAlignment="1">
      <alignment horizontal="center" vertical="center" textRotation="90" wrapText="1"/>
    </xf>
    <xf numFmtId="0" fontId="4" fillId="13" borderId="67" xfId="0" applyFont="1" applyFill="1" applyBorder="1" applyAlignment="1">
      <alignment horizontal="center" vertical="center" textRotation="90" wrapText="1"/>
    </xf>
    <xf numFmtId="0" fontId="4" fillId="13" borderId="62" xfId="0" applyFont="1" applyFill="1" applyBorder="1" applyAlignment="1">
      <alignment horizontal="center" vertical="center" textRotation="90" wrapText="1"/>
    </xf>
    <xf numFmtId="0" fontId="4" fillId="13" borderId="63" xfId="0" applyFont="1" applyFill="1" applyBorder="1" applyAlignment="1">
      <alignment horizontal="center" vertical="center" textRotation="90" wrapText="1"/>
    </xf>
    <xf numFmtId="0" fontId="1" fillId="0" borderId="67" xfId="0" applyFont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 wrapText="1"/>
    </xf>
    <xf numFmtId="0" fontId="1" fillId="0" borderId="63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33" xfId="0" applyFont="1" applyBorder="1" applyAlignment="1">
      <alignment horizontal="center"/>
    </xf>
    <xf numFmtId="0" fontId="1" fillId="0" borderId="55" xfId="0" applyFont="1" applyBorder="1" applyAlignment="1">
      <alignment horizontal="center"/>
    </xf>
    <xf numFmtId="0" fontId="1" fillId="0" borderId="50" xfId="0" applyFont="1" applyBorder="1" applyAlignment="1">
      <alignment horizontal="center"/>
    </xf>
    <xf numFmtId="0" fontId="4" fillId="34" borderId="53" xfId="0" applyFont="1" applyFill="1" applyBorder="1" applyAlignment="1">
      <alignment horizontal="center" vertical="center" textRotation="90" wrapText="1"/>
    </xf>
    <xf numFmtId="0" fontId="4" fillId="35" borderId="53" xfId="0" applyFont="1" applyFill="1" applyBorder="1" applyAlignment="1">
      <alignment horizontal="center" vertical="center" textRotation="90" wrapText="1"/>
    </xf>
    <xf numFmtId="0" fontId="1" fillId="35" borderId="51" xfId="0" applyFont="1" applyFill="1" applyBorder="1" applyAlignment="1">
      <alignment horizontal="center" vertical="center" textRotation="90" wrapText="1"/>
    </xf>
    <xf numFmtId="0" fontId="1" fillId="35" borderId="52" xfId="0" applyFont="1" applyFill="1" applyBorder="1" applyAlignment="1">
      <alignment horizontal="center" vertical="center" textRotation="90" wrapText="1"/>
    </xf>
    <xf numFmtId="0" fontId="7" fillId="0" borderId="0" xfId="0" applyFont="1" applyAlignment="1">
      <alignment horizontal="center"/>
    </xf>
    <xf numFmtId="0" fontId="5" fillId="0" borderId="58" xfId="0" applyFont="1" applyBorder="1" applyAlignment="1">
      <alignment horizontal="center"/>
    </xf>
    <xf numFmtId="0" fontId="1" fillId="0" borderId="45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1" fillId="13" borderId="53" xfId="0" applyFont="1" applyFill="1" applyBorder="1" applyAlignment="1">
      <alignment horizontal="center" vertical="center" textRotation="90" wrapText="1"/>
    </xf>
    <xf numFmtId="0" fontId="1" fillId="13" borderId="51" xfId="0" applyFont="1" applyFill="1" applyBorder="1" applyAlignment="1">
      <alignment horizontal="center" vertical="center" textRotation="90" wrapText="1"/>
    </xf>
    <xf numFmtId="0" fontId="1" fillId="13" borderId="52" xfId="0" applyFont="1" applyFill="1" applyBorder="1" applyAlignment="1">
      <alignment horizontal="center" vertical="center" textRotation="90" wrapText="1"/>
    </xf>
    <xf numFmtId="0" fontId="4" fillId="35" borderId="62" xfId="0" applyFont="1" applyFill="1" applyBorder="1" applyAlignment="1">
      <alignment horizontal="center" vertical="center" textRotation="90" wrapText="1"/>
    </xf>
    <xf numFmtId="0" fontId="1" fillId="35" borderId="62" xfId="0" applyFont="1" applyFill="1" applyBorder="1" applyAlignment="1">
      <alignment horizontal="center" vertical="center" textRotation="90" wrapText="1"/>
    </xf>
    <xf numFmtId="0" fontId="1" fillId="35" borderId="63" xfId="0" applyFont="1" applyFill="1" applyBorder="1" applyAlignment="1">
      <alignment horizontal="center" vertical="center" textRotation="90" wrapText="1"/>
    </xf>
    <xf numFmtId="0" fontId="1" fillId="0" borderId="25" xfId="0" applyFont="1" applyFill="1" applyBorder="1" applyAlignment="1">
      <alignment horizontal="center" vertical="center" wrapText="1"/>
    </xf>
    <xf numFmtId="0" fontId="4" fillId="34" borderId="28" xfId="0" applyFont="1" applyFill="1" applyBorder="1" applyAlignment="1">
      <alignment horizontal="center" vertical="center" textRotation="90" wrapText="1"/>
    </xf>
    <xf numFmtId="0" fontId="1" fillId="34" borderId="10" xfId="0" applyFont="1" applyFill="1" applyBorder="1" applyAlignment="1">
      <alignment horizontal="center" vertical="center" textRotation="90" wrapText="1"/>
    </xf>
    <xf numFmtId="0" fontId="1" fillId="34" borderId="22" xfId="0" applyFont="1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wrapText="1"/>
    </xf>
    <xf numFmtId="0" fontId="4" fillId="35" borderId="42" xfId="0" applyFont="1" applyFill="1" applyBorder="1" applyAlignment="1">
      <alignment horizontal="center" vertical="center" textRotation="90" wrapText="1"/>
    </xf>
    <xf numFmtId="0" fontId="4" fillId="35" borderId="0" xfId="0" applyFont="1" applyFill="1" applyBorder="1" applyAlignment="1">
      <alignment horizontal="center" vertical="center" textRotation="90" wrapText="1"/>
    </xf>
    <xf numFmtId="0" fontId="4" fillId="35" borderId="58" xfId="0" applyFont="1" applyFill="1" applyBorder="1" applyAlignment="1">
      <alignment horizontal="center" vertical="center" textRotation="90" wrapText="1"/>
    </xf>
    <xf numFmtId="0" fontId="1" fillId="0" borderId="2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 wrapText="1"/>
    </xf>
    <xf numFmtId="0" fontId="1" fillId="0" borderId="28" xfId="0" applyFont="1" applyBorder="1" applyAlignment="1">
      <alignment horizontal="center"/>
    </xf>
    <xf numFmtId="0" fontId="1" fillId="0" borderId="45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67" xfId="0" applyFont="1" applyFill="1" applyBorder="1" applyAlignment="1">
      <alignment horizontal="center" vertical="center" wrapText="1"/>
    </xf>
    <xf numFmtId="0" fontId="1" fillId="0" borderId="62" xfId="0" applyFont="1" applyFill="1" applyBorder="1" applyAlignment="1">
      <alignment horizontal="center" vertical="center" wrapText="1"/>
    </xf>
    <xf numFmtId="0" fontId="1" fillId="0" borderId="63" xfId="0" applyFont="1" applyFill="1" applyBorder="1" applyAlignment="1">
      <alignment horizontal="center" vertical="center" wrapText="1"/>
    </xf>
    <xf numFmtId="0" fontId="4" fillId="33" borderId="67" xfId="0" applyFont="1" applyFill="1" applyBorder="1" applyAlignment="1">
      <alignment horizontal="center" vertical="center" textRotation="90" wrapText="1"/>
    </xf>
    <xf numFmtId="0" fontId="4" fillId="33" borderId="62" xfId="0" applyFont="1" applyFill="1" applyBorder="1" applyAlignment="1">
      <alignment horizontal="center" vertical="center" textRotation="90" wrapText="1"/>
    </xf>
    <xf numFmtId="0" fontId="4" fillId="33" borderId="63" xfId="0" applyFont="1" applyFill="1" applyBorder="1" applyAlignment="1">
      <alignment horizontal="center" vertical="center" textRotation="90" wrapText="1"/>
    </xf>
    <xf numFmtId="0" fontId="4" fillId="34" borderId="67" xfId="0" applyFont="1" applyFill="1" applyBorder="1" applyAlignment="1">
      <alignment horizontal="center" vertical="center" textRotation="90" wrapText="1"/>
    </xf>
    <xf numFmtId="0" fontId="4" fillId="34" borderId="62" xfId="0" applyFont="1" applyFill="1" applyBorder="1" applyAlignment="1">
      <alignment horizontal="center" vertical="center" textRotation="90" wrapText="1"/>
    </xf>
    <xf numFmtId="0" fontId="4" fillId="34" borderId="63" xfId="0" applyFont="1" applyFill="1" applyBorder="1" applyAlignment="1">
      <alignment horizontal="center" vertical="center" textRotation="90" wrapText="1"/>
    </xf>
    <xf numFmtId="0" fontId="1" fillId="0" borderId="21" xfId="0" applyFont="1" applyFill="1" applyBorder="1" applyAlignment="1">
      <alignment horizontal="center" vertical="center" wrapText="1"/>
    </xf>
    <xf numFmtId="0" fontId="1" fillId="33" borderId="70" xfId="0" applyFont="1" applyFill="1" applyBorder="1" applyAlignment="1">
      <alignment horizontal="center" vertical="center" textRotation="90" wrapText="1"/>
    </xf>
    <xf numFmtId="0" fontId="1" fillId="33" borderId="41" xfId="0" applyFont="1" applyFill="1" applyBorder="1" applyAlignment="1">
      <alignment horizontal="center" vertical="center" textRotation="90" wrapText="1"/>
    </xf>
    <xf numFmtId="0" fontId="1" fillId="33" borderId="40" xfId="0" applyFont="1" applyFill="1" applyBorder="1" applyAlignment="1">
      <alignment horizontal="center" vertical="center" textRotation="90" wrapText="1"/>
    </xf>
    <xf numFmtId="0" fontId="1" fillId="13" borderId="70" xfId="0" applyFont="1" applyFill="1" applyBorder="1" applyAlignment="1">
      <alignment horizontal="center" vertical="center" textRotation="90" wrapText="1"/>
    </xf>
    <xf numFmtId="0" fontId="1" fillId="13" borderId="41" xfId="0" applyFont="1" applyFill="1" applyBorder="1" applyAlignment="1">
      <alignment horizontal="center" vertical="center" textRotation="90" wrapText="1"/>
    </xf>
    <xf numFmtId="0" fontId="1" fillId="13" borderId="40" xfId="0" applyFont="1" applyFill="1" applyBorder="1" applyAlignment="1">
      <alignment horizontal="center" vertical="center" textRotation="90" wrapText="1"/>
    </xf>
    <xf numFmtId="0" fontId="1" fillId="34" borderId="70" xfId="0" applyFont="1" applyFill="1" applyBorder="1" applyAlignment="1">
      <alignment horizontal="center" vertical="center" textRotation="90" wrapText="1"/>
    </xf>
    <xf numFmtId="0" fontId="1" fillId="34" borderId="41" xfId="0" applyFont="1" applyFill="1" applyBorder="1" applyAlignment="1">
      <alignment horizontal="center" vertical="center" textRotation="90" wrapText="1"/>
    </xf>
    <xf numFmtId="0" fontId="1" fillId="34" borderId="40" xfId="0" applyFont="1" applyFill="1" applyBorder="1" applyAlignment="1">
      <alignment horizontal="center" vertical="center" textRotation="90" wrapText="1"/>
    </xf>
    <xf numFmtId="0" fontId="7" fillId="0" borderId="0" xfId="0" applyFont="1" applyBorder="1" applyAlignment="1">
      <alignment horizontal="center"/>
    </xf>
    <xf numFmtId="0" fontId="1" fillId="35" borderId="70" xfId="0" applyFont="1" applyFill="1" applyBorder="1" applyAlignment="1">
      <alignment horizontal="center" vertical="center" textRotation="90" wrapText="1"/>
    </xf>
    <xf numFmtId="0" fontId="1" fillId="35" borderId="41" xfId="0" applyFont="1" applyFill="1" applyBorder="1" applyAlignment="1">
      <alignment horizontal="center" vertical="center" textRotation="90" wrapText="1"/>
    </xf>
    <xf numFmtId="0" fontId="1" fillId="35" borderId="40" xfId="0" applyFont="1" applyFill="1" applyBorder="1" applyAlignment="1">
      <alignment horizontal="center" vertical="center" textRotation="90" wrapText="1"/>
    </xf>
    <xf numFmtId="0" fontId="4" fillId="13" borderId="59" xfId="0" applyFont="1" applyFill="1" applyBorder="1" applyAlignment="1">
      <alignment horizontal="center" vertical="center" textRotation="90" wrapText="1"/>
    </xf>
    <xf numFmtId="0" fontId="1" fillId="13" borderId="64" xfId="0" applyFont="1" applyFill="1" applyBorder="1" applyAlignment="1">
      <alignment horizontal="center" vertical="center" textRotation="90" wrapText="1"/>
    </xf>
    <xf numFmtId="0" fontId="1" fillId="13" borderId="66" xfId="0" applyFont="1" applyFill="1" applyBorder="1" applyAlignment="1">
      <alignment horizontal="center" vertical="center" textRotation="90" wrapText="1"/>
    </xf>
    <xf numFmtId="0" fontId="4" fillId="34" borderId="71" xfId="0" applyFont="1" applyFill="1" applyBorder="1" applyAlignment="1">
      <alignment horizontal="center" vertical="center" textRotation="90" wrapText="1"/>
    </xf>
    <xf numFmtId="0" fontId="4" fillId="33" borderId="70" xfId="0" applyFont="1" applyFill="1" applyBorder="1" applyAlignment="1">
      <alignment horizontal="center" vertical="center" textRotation="90" wrapText="1"/>
    </xf>
    <xf numFmtId="0" fontId="4" fillId="33" borderId="41" xfId="0" applyFont="1" applyFill="1" applyBorder="1" applyAlignment="1">
      <alignment horizontal="center" vertical="center" textRotation="90" wrapText="1"/>
    </xf>
    <xf numFmtId="0" fontId="1" fillId="0" borderId="21" xfId="0" applyFont="1" applyBorder="1" applyAlignment="1">
      <alignment horizontal="center"/>
    </xf>
    <xf numFmtId="0" fontId="1" fillId="0" borderId="69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4" fillId="33" borderId="59" xfId="0" applyFont="1" applyFill="1" applyBorder="1" applyAlignment="1">
      <alignment horizontal="center" vertical="center" textRotation="90" wrapText="1"/>
    </xf>
    <xf numFmtId="0" fontId="1" fillId="33" borderId="64" xfId="0" applyFont="1" applyFill="1" applyBorder="1" applyAlignment="1">
      <alignment horizontal="center" vertical="center" textRotation="90" wrapText="1"/>
    </xf>
    <xf numFmtId="0" fontId="1" fillId="33" borderId="66" xfId="0" applyFont="1" applyFill="1" applyBorder="1" applyAlignment="1">
      <alignment horizontal="center" vertical="center" textRotation="90" wrapText="1"/>
    </xf>
    <xf numFmtId="0" fontId="4" fillId="13" borderId="61" xfId="0" applyFont="1" applyFill="1" applyBorder="1" applyAlignment="1">
      <alignment horizontal="center" vertical="center" textRotation="90" wrapText="1"/>
    </xf>
    <xf numFmtId="0" fontId="1" fillId="13" borderId="68" xfId="0" applyFont="1" applyFill="1" applyBorder="1" applyAlignment="1">
      <alignment horizontal="center" vertical="center" textRotation="90" wrapText="1"/>
    </xf>
    <xf numFmtId="0" fontId="5" fillId="0" borderId="58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4" fillId="35" borderId="59" xfId="0" applyFont="1" applyFill="1" applyBorder="1" applyAlignment="1">
      <alignment horizontal="center" vertical="center" textRotation="90" wrapText="1"/>
    </xf>
    <xf numFmtId="0" fontId="1" fillId="35" borderId="64" xfId="0" applyFont="1" applyFill="1" applyBorder="1" applyAlignment="1">
      <alignment horizontal="center" vertical="center" textRotation="90" wrapText="1"/>
    </xf>
    <xf numFmtId="0" fontId="1" fillId="35" borderId="66" xfId="0" applyFont="1" applyFill="1" applyBorder="1" applyAlignment="1">
      <alignment horizontal="center" vertical="center" textRotation="90" wrapText="1"/>
    </xf>
    <xf numFmtId="0" fontId="1" fillId="0" borderId="53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1" fillId="0" borderId="68" xfId="0" applyFont="1" applyBorder="1" applyAlignment="1">
      <alignment horizontal="center" vertical="center" wrapText="1"/>
    </xf>
    <xf numFmtId="0" fontId="1" fillId="35" borderId="53" xfId="0" applyFont="1" applyFill="1" applyBorder="1" applyAlignment="1">
      <alignment horizontal="center" vertical="center" textRotation="90" wrapText="1"/>
    </xf>
    <xf numFmtId="0" fontId="1" fillId="33" borderId="53" xfId="0" applyFont="1" applyFill="1" applyBorder="1" applyAlignment="1">
      <alignment horizontal="center" vertical="center" textRotation="90" wrapText="1"/>
    </xf>
    <xf numFmtId="0" fontId="1" fillId="33" borderId="61" xfId="0" applyFont="1" applyFill="1" applyBorder="1" applyAlignment="1">
      <alignment horizontal="center" vertical="center" textRotation="90" wrapText="1"/>
    </xf>
    <xf numFmtId="0" fontId="1" fillId="34" borderId="53" xfId="0" applyFont="1" applyFill="1" applyBorder="1" applyAlignment="1">
      <alignment horizontal="center" vertical="center" textRotation="90" wrapText="1"/>
    </xf>
    <xf numFmtId="0" fontId="1" fillId="13" borderId="62" xfId="0" applyFont="1" applyFill="1" applyBorder="1" applyAlignment="1">
      <alignment horizontal="center" vertical="center" textRotation="90" wrapText="1"/>
    </xf>
    <xf numFmtId="0" fontId="1" fillId="13" borderId="63" xfId="0" applyFont="1" applyFill="1" applyBorder="1" applyAlignment="1">
      <alignment horizontal="center" vertical="center" textRotation="90" wrapText="1"/>
    </xf>
    <xf numFmtId="0" fontId="1" fillId="34" borderId="32" xfId="0" applyFont="1" applyFill="1" applyBorder="1" applyAlignment="1">
      <alignment horizontal="center" vertical="center" textRotation="90" wrapText="1"/>
    </xf>
    <xf numFmtId="0" fontId="1" fillId="34" borderId="14" xfId="0" applyFont="1" applyFill="1" applyBorder="1" applyAlignment="1">
      <alignment horizontal="center" vertical="center" textRotation="90" wrapText="1"/>
    </xf>
    <xf numFmtId="2" fontId="1" fillId="0" borderId="47" xfId="0" applyNumberFormat="1" applyFont="1" applyBorder="1" applyAlignment="1">
      <alignment horizontal="center" wrapText="1"/>
    </xf>
    <xf numFmtId="2" fontId="1" fillId="0" borderId="36" xfId="0" applyNumberFormat="1" applyFont="1" applyBorder="1" applyAlignment="1">
      <alignment horizontal="center" wrapText="1"/>
    </xf>
    <xf numFmtId="0" fontId="1" fillId="0" borderId="47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2" fontId="1" fillId="0" borderId="47" xfId="0" applyNumberFormat="1" applyFont="1" applyBorder="1" applyAlignment="1">
      <alignment horizontal="center" vertical="center" wrapText="1"/>
    </xf>
    <xf numFmtId="2" fontId="1" fillId="0" borderId="39" xfId="0" applyNumberFormat="1" applyFont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33" xfId="0" applyFont="1" applyBorder="1" applyAlignment="1">
      <alignment horizontal="center"/>
    </xf>
    <xf numFmtId="0" fontId="1" fillId="0" borderId="55" xfId="0" applyFont="1" applyBorder="1" applyAlignment="1">
      <alignment horizontal="center"/>
    </xf>
    <xf numFmtId="0" fontId="1" fillId="0" borderId="50" xfId="0" applyFont="1" applyBorder="1" applyAlignment="1">
      <alignment horizontal="center"/>
    </xf>
    <xf numFmtId="0" fontId="1" fillId="34" borderId="59" xfId="0" applyFont="1" applyFill="1" applyBorder="1" applyAlignment="1">
      <alignment horizontal="center" vertical="center" textRotation="90" wrapText="1"/>
    </xf>
    <xf numFmtId="0" fontId="6" fillId="0" borderId="0" xfId="0" applyFont="1" applyAlignment="1">
      <alignment horizontal="center" vertical="center"/>
    </xf>
    <xf numFmtId="0" fontId="1" fillId="0" borderId="69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7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33" borderId="59" xfId="0" applyFont="1" applyFill="1" applyBorder="1" applyAlignment="1">
      <alignment horizontal="center" vertical="center" textRotation="90" wrapText="1"/>
    </xf>
    <xf numFmtId="0" fontId="1" fillId="13" borderId="59" xfId="0" applyFont="1" applyFill="1" applyBorder="1" applyAlignment="1">
      <alignment horizontal="center" vertical="center" textRotation="90" wrapText="1"/>
    </xf>
    <xf numFmtId="0" fontId="5" fillId="0" borderId="0" xfId="0" applyFont="1" applyAlignment="1">
      <alignment horizontal="center"/>
    </xf>
    <xf numFmtId="0" fontId="4" fillId="33" borderId="64" xfId="0" applyFont="1" applyFill="1" applyBorder="1" applyAlignment="1">
      <alignment horizontal="center" vertical="center" textRotation="90" wrapText="1"/>
    </xf>
    <xf numFmtId="0" fontId="4" fillId="33" borderId="66" xfId="0" applyFont="1" applyFill="1" applyBorder="1" applyAlignment="1">
      <alignment horizontal="center" vertical="center" textRotation="90" wrapText="1"/>
    </xf>
    <xf numFmtId="0" fontId="4" fillId="13" borderId="71" xfId="0" applyFont="1" applyFill="1" applyBorder="1" applyAlignment="1">
      <alignment horizontal="center" vertical="center" textRotation="90" wrapText="1"/>
    </xf>
    <xf numFmtId="0" fontId="1" fillId="13" borderId="65" xfId="0" applyFont="1" applyFill="1" applyBorder="1" applyAlignment="1">
      <alignment horizontal="center" vertical="center" textRotation="90" wrapText="1"/>
    </xf>
    <xf numFmtId="0" fontId="4" fillId="35" borderId="71" xfId="0" applyFont="1" applyFill="1" applyBorder="1" applyAlignment="1">
      <alignment horizontal="center" vertical="center" textRotation="90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4" fillId="35" borderId="67" xfId="0" applyFont="1" applyFill="1" applyBorder="1" applyAlignment="1">
      <alignment horizontal="center" vertical="center" textRotation="90" wrapText="1"/>
    </xf>
    <xf numFmtId="0" fontId="4" fillId="35" borderId="63" xfId="0" applyFont="1" applyFill="1" applyBorder="1" applyAlignment="1">
      <alignment horizontal="center" vertical="center" textRotation="90" wrapText="1"/>
    </xf>
    <xf numFmtId="2" fontId="1" fillId="33" borderId="67" xfId="0" applyNumberFormat="1" applyFont="1" applyFill="1" applyBorder="1" applyAlignment="1">
      <alignment horizontal="center" vertical="center" textRotation="90" wrapText="1"/>
    </xf>
    <xf numFmtId="2" fontId="1" fillId="33" borderId="62" xfId="0" applyNumberFormat="1" applyFont="1" applyFill="1" applyBorder="1" applyAlignment="1">
      <alignment horizontal="center" vertical="center" textRotation="90" wrapText="1"/>
    </xf>
    <xf numFmtId="2" fontId="1" fillId="33" borderId="63" xfId="0" applyNumberFormat="1" applyFont="1" applyFill="1" applyBorder="1" applyAlignment="1">
      <alignment horizontal="center" vertical="center" textRotation="90" wrapText="1"/>
    </xf>
    <xf numFmtId="0" fontId="4" fillId="34" borderId="61" xfId="0" applyFont="1" applyFill="1" applyBorder="1" applyAlignment="1">
      <alignment horizontal="center" vertical="center" textRotation="90" wrapText="1"/>
    </xf>
    <xf numFmtId="0" fontId="4" fillId="35" borderId="42" xfId="0" applyFont="1" applyFill="1" applyBorder="1" applyAlignment="1" applyProtection="1">
      <alignment horizontal="center" vertical="center" textRotation="90" wrapText="1"/>
      <protection locked="0"/>
    </xf>
    <xf numFmtId="0" fontId="4" fillId="35" borderId="0" xfId="0" applyFont="1" applyFill="1" applyBorder="1" applyAlignment="1" applyProtection="1">
      <alignment horizontal="center" vertical="center" textRotation="90" wrapText="1"/>
      <protection locked="0"/>
    </xf>
    <xf numFmtId="0" fontId="4" fillId="35" borderId="58" xfId="0" applyFont="1" applyFill="1" applyBorder="1" applyAlignment="1" applyProtection="1">
      <alignment horizontal="center" vertical="center" textRotation="90" wrapText="1"/>
      <protection locked="0"/>
    </xf>
    <xf numFmtId="2" fontId="1" fillId="38" borderId="35" xfId="0" applyNumberFormat="1" applyFont="1" applyFill="1" applyBorder="1" applyAlignment="1" applyProtection="1">
      <alignment horizontal="center"/>
      <protection/>
    </xf>
    <xf numFmtId="2" fontId="1" fillId="38" borderId="37" xfId="0" applyNumberFormat="1" applyFont="1" applyFill="1" applyBorder="1" applyAlignment="1" applyProtection="1">
      <alignment horizontal="center"/>
      <protection/>
    </xf>
    <xf numFmtId="2" fontId="1" fillId="38" borderId="10" xfId="0" applyNumberFormat="1" applyFont="1" applyFill="1" applyBorder="1" applyAlignment="1" applyProtection="1">
      <alignment horizontal="center"/>
      <protection/>
    </xf>
    <xf numFmtId="2" fontId="1" fillId="38" borderId="25" xfId="0" applyNumberFormat="1" applyFont="1" applyFill="1" applyBorder="1" applyAlignment="1" applyProtection="1">
      <alignment horizontal="center"/>
      <protection/>
    </xf>
    <xf numFmtId="0" fontId="1" fillId="13" borderId="28" xfId="0" applyFont="1" applyFill="1" applyBorder="1" applyAlignment="1" applyProtection="1">
      <alignment/>
      <protection locked="0"/>
    </xf>
    <xf numFmtId="166" fontId="1" fillId="13" borderId="28" xfId="0" applyNumberFormat="1" applyFont="1" applyFill="1" applyBorder="1" applyAlignment="1" applyProtection="1">
      <alignment horizontal="center"/>
      <protection locked="0"/>
    </xf>
    <xf numFmtId="0" fontId="1" fillId="34" borderId="32" xfId="0" applyFont="1" applyFill="1" applyBorder="1" applyAlignment="1">
      <alignment horizontal="center"/>
    </xf>
    <xf numFmtId="0" fontId="1" fillId="0" borderId="42" xfId="0" applyFont="1" applyBorder="1" applyAlignment="1">
      <alignment horizont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Įprastas 2" xfId="55"/>
    <cellStyle name="Linked Cell" xfId="56"/>
    <cellStyle name="Neutral" xfId="57"/>
    <cellStyle name="Normal 2" xfId="58"/>
    <cellStyle name="Normal 3" xfId="59"/>
    <cellStyle name="Note" xfId="60"/>
    <cellStyle name="Output" xfId="61"/>
    <cellStyle name="Paprastas 2" xfId="62"/>
    <cellStyle name="Paprastas 3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324"/>
  <sheetViews>
    <sheetView tabSelected="1" zoomScalePageLayoutView="0" workbookViewId="0" topLeftCell="A1">
      <selection activeCell="Q679" sqref="Q679"/>
    </sheetView>
  </sheetViews>
  <sheetFormatPr defaultColWidth="9.140625" defaultRowHeight="12.75"/>
  <cols>
    <col min="1" max="1" width="11.8515625" style="1" customWidth="1"/>
    <col min="2" max="2" width="3.57421875" style="5" customWidth="1"/>
    <col min="3" max="3" width="24.28125" style="4" customWidth="1"/>
    <col min="4" max="4" width="5.00390625" style="5" customWidth="1"/>
    <col min="5" max="5" width="7.140625" style="5" customWidth="1"/>
    <col min="6" max="6" width="7.421875" style="1" customWidth="1"/>
    <col min="7" max="7" width="8.8515625" style="1" customWidth="1"/>
    <col min="8" max="8" width="11.140625" style="1" customWidth="1"/>
    <col min="9" max="9" width="8.28125" style="1" customWidth="1"/>
    <col min="10" max="10" width="7.28125" style="1" customWidth="1"/>
    <col min="11" max="11" width="12.00390625" style="1" customWidth="1"/>
    <col min="12" max="12" width="6.8515625" style="1" customWidth="1"/>
    <col min="13" max="13" width="11.00390625" style="1" customWidth="1"/>
    <col min="14" max="14" width="9.57421875" style="1" customWidth="1"/>
    <col min="15" max="15" width="10.7109375" style="1" customWidth="1"/>
    <col min="16" max="16" width="11.421875" style="1" customWidth="1"/>
    <col min="17" max="17" width="13.140625" style="1" customWidth="1"/>
    <col min="18" max="18" width="5.8515625" style="1" customWidth="1"/>
    <col min="19" max="20" width="10.8515625" style="1" customWidth="1"/>
    <col min="21" max="21" width="12.421875" style="1" bestFit="1" customWidth="1"/>
    <col min="22" max="22" width="9.140625" style="1" customWidth="1"/>
    <col min="23" max="23" width="10.421875" style="1" bestFit="1" customWidth="1"/>
    <col min="24" max="16384" width="9.140625" style="1" customWidth="1"/>
  </cols>
  <sheetData>
    <row r="1" spans="1:17" s="17" customFormat="1" ht="13.5" customHeight="1">
      <c r="A1" s="1064" t="s">
        <v>511</v>
      </c>
      <c r="B1" s="1064"/>
      <c r="C1" s="1064"/>
      <c r="D1" s="1064"/>
      <c r="E1" s="1064"/>
      <c r="F1" s="1064"/>
      <c r="G1" s="1064"/>
      <c r="H1" s="1064"/>
      <c r="I1" s="1064"/>
      <c r="J1" s="1064"/>
      <c r="K1" s="1064"/>
      <c r="L1" s="1064"/>
      <c r="M1" s="1064"/>
      <c r="N1" s="1064"/>
      <c r="O1" s="1064"/>
      <c r="P1" s="1064"/>
      <c r="Q1" s="1064"/>
    </row>
    <row r="2" spans="1:17" s="17" customFormat="1" ht="13.5" customHeight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</row>
    <row r="3" spans="1:17" s="19" customFormat="1" ht="13.5" customHeight="1">
      <c r="A3" s="1067" t="s">
        <v>31</v>
      </c>
      <c r="B3" s="1067"/>
      <c r="C3" s="1067"/>
      <c r="D3" s="1067"/>
      <c r="E3" s="1067"/>
      <c r="F3" s="1067"/>
      <c r="G3" s="1067"/>
      <c r="H3" s="1067"/>
      <c r="I3" s="1067"/>
      <c r="J3" s="1067"/>
      <c r="K3" s="1067"/>
      <c r="L3" s="1067"/>
      <c r="M3" s="1067"/>
      <c r="N3" s="1067"/>
      <c r="O3" s="1067"/>
      <c r="P3" s="1067"/>
      <c r="Q3" s="1067"/>
    </row>
    <row r="4" spans="1:17" s="17" customFormat="1" ht="13.5" customHeight="1" thickBot="1">
      <c r="A4" s="1033" t="s">
        <v>512</v>
      </c>
      <c r="B4" s="1033"/>
      <c r="C4" s="1033"/>
      <c r="D4" s="1033"/>
      <c r="E4" s="1033"/>
      <c r="F4" s="1033"/>
      <c r="G4" s="1033"/>
      <c r="H4" s="1033"/>
      <c r="I4" s="1033"/>
      <c r="J4" s="1033"/>
      <c r="K4" s="1033"/>
      <c r="L4" s="1033"/>
      <c r="M4" s="1033"/>
      <c r="N4" s="1033"/>
      <c r="O4" s="1033"/>
      <c r="P4" s="1033"/>
      <c r="Q4" s="1033"/>
    </row>
    <row r="5" spans="1:17" ht="12.75" customHeight="1">
      <c r="A5" s="1069" t="s">
        <v>1</v>
      </c>
      <c r="B5" s="1053" t="s">
        <v>0</v>
      </c>
      <c r="C5" s="1058" t="s">
        <v>2</v>
      </c>
      <c r="D5" s="1058" t="s">
        <v>3</v>
      </c>
      <c r="E5" s="1058" t="s">
        <v>13</v>
      </c>
      <c r="F5" s="1060" t="s">
        <v>14</v>
      </c>
      <c r="G5" s="1061"/>
      <c r="H5" s="1061"/>
      <c r="I5" s="1062"/>
      <c r="J5" s="1058" t="s">
        <v>4</v>
      </c>
      <c r="K5" s="1058" t="s">
        <v>15</v>
      </c>
      <c r="L5" s="1058" t="s">
        <v>5</v>
      </c>
      <c r="M5" s="1058" t="s">
        <v>6</v>
      </c>
      <c r="N5" s="1058" t="s">
        <v>16</v>
      </c>
      <c r="O5" s="1058" t="s">
        <v>17</v>
      </c>
      <c r="P5" s="1065" t="s">
        <v>25</v>
      </c>
      <c r="Q5" s="1051" t="s">
        <v>26</v>
      </c>
    </row>
    <row r="6" spans="1:22" s="2" customFormat="1" ht="33.75">
      <c r="A6" s="1070"/>
      <c r="B6" s="1054"/>
      <c r="C6" s="1068"/>
      <c r="D6" s="1059"/>
      <c r="E6" s="1059"/>
      <c r="F6" s="9" t="s">
        <v>18</v>
      </c>
      <c r="G6" s="9" t="s">
        <v>19</v>
      </c>
      <c r="H6" s="9" t="s">
        <v>20</v>
      </c>
      <c r="I6" s="9" t="s">
        <v>21</v>
      </c>
      <c r="J6" s="1059"/>
      <c r="K6" s="1059"/>
      <c r="L6" s="1059"/>
      <c r="M6" s="1059"/>
      <c r="N6" s="1059"/>
      <c r="O6" s="1059"/>
      <c r="P6" s="1066"/>
      <c r="Q6" s="1052"/>
      <c r="S6" s="192"/>
      <c r="T6" s="192"/>
      <c r="U6" s="192"/>
      <c r="V6" s="192"/>
    </row>
    <row r="7" spans="1:22" s="3" customFormat="1" ht="13.5" customHeight="1" thickBot="1">
      <c r="A7" s="1071"/>
      <c r="B7" s="1054"/>
      <c r="C7" s="1068"/>
      <c r="D7" s="10" t="s">
        <v>7</v>
      </c>
      <c r="E7" s="10" t="s">
        <v>8</v>
      </c>
      <c r="F7" s="10" t="s">
        <v>9</v>
      </c>
      <c r="G7" s="10" t="s">
        <v>9</v>
      </c>
      <c r="H7" s="10" t="s">
        <v>9</v>
      </c>
      <c r="I7" s="10" t="s">
        <v>9</v>
      </c>
      <c r="J7" s="10" t="s">
        <v>22</v>
      </c>
      <c r="K7" s="10" t="s">
        <v>9</v>
      </c>
      <c r="L7" s="10" t="s">
        <v>22</v>
      </c>
      <c r="M7" s="10" t="s">
        <v>134</v>
      </c>
      <c r="N7" s="10" t="s">
        <v>10</v>
      </c>
      <c r="O7" s="10" t="s">
        <v>135</v>
      </c>
      <c r="P7" s="15" t="s">
        <v>27</v>
      </c>
      <c r="Q7" s="11" t="s">
        <v>28</v>
      </c>
      <c r="S7" s="193"/>
      <c r="T7" s="193"/>
      <c r="U7" s="194"/>
      <c r="V7" s="194"/>
    </row>
    <row r="8" spans="1:23" ht="12.75" customHeight="1">
      <c r="A8" s="1072" t="s">
        <v>50</v>
      </c>
      <c r="B8" s="116">
        <v>1</v>
      </c>
      <c r="C8" s="423" t="s">
        <v>65</v>
      </c>
      <c r="D8" s="29">
        <v>116</v>
      </c>
      <c r="E8" s="29">
        <v>2007</v>
      </c>
      <c r="F8" s="378">
        <v>67.795</v>
      </c>
      <c r="G8" s="378">
        <v>20.349</v>
      </c>
      <c r="H8" s="378">
        <v>9.28</v>
      </c>
      <c r="I8" s="378">
        <v>38.166</v>
      </c>
      <c r="J8" s="382">
        <v>7056.7</v>
      </c>
      <c r="K8" s="378">
        <v>38.166</v>
      </c>
      <c r="L8" s="382">
        <v>7056.7</v>
      </c>
      <c r="M8" s="548">
        <f aca="true" t="shared" si="0" ref="M8:M48">K8/L8</f>
        <v>0.005408477050179262</v>
      </c>
      <c r="N8" s="29">
        <v>292.338</v>
      </c>
      <c r="O8" s="518">
        <f aca="true" t="shared" si="1" ref="O8:O48">M8*N8</f>
        <v>1.5811033638953051</v>
      </c>
      <c r="P8" s="518">
        <f aca="true" t="shared" si="2" ref="P8:P48">M8*60*1000</f>
        <v>324.50862301075574</v>
      </c>
      <c r="Q8" s="294">
        <f aca="true" t="shared" si="3" ref="Q8:Q48">O8*60</f>
        <v>94.8662018337183</v>
      </c>
      <c r="R8" s="88"/>
      <c r="S8" s="195"/>
      <c r="T8" s="195"/>
      <c r="U8" s="196"/>
      <c r="V8" s="197"/>
      <c r="W8" s="12"/>
    </row>
    <row r="9" spans="1:23" ht="12.75">
      <c r="A9" s="1029"/>
      <c r="B9" s="109">
        <v>2</v>
      </c>
      <c r="C9" s="16" t="s">
        <v>64</v>
      </c>
      <c r="D9" s="30">
        <v>40</v>
      </c>
      <c r="E9" s="30">
        <v>2007</v>
      </c>
      <c r="F9" s="130">
        <v>23.651</v>
      </c>
      <c r="G9" s="130">
        <v>6.348246</v>
      </c>
      <c r="H9" s="130">
        <v>3.2</v>
      </c>
      <c r="I9" s="130">
        <v>14.102754</v>
      </c>
      <c r="J9" s="187">
        <v>2350.71</v>
      </c>
      <c r="K9" s="130">
        <v>14.102754</v>
      </c>
      <c r="L9" s="187">
        <v>2350.71</v>
      </c>
      <c r="M9" s="295">
        <f t="shared" si="0"/>
        <v>0.005999359342496522</v>
      </c>
      <c r="N9" s="30">
        <v>292.338</v>
      </c>
      <c r="O9" s="126">
        <f t="shared" si="1"/>
        <v>1.7538407114667482</v>
      </c>
      <c r="P9" s="126">
        <f t="shared" si="2"/>
        <v>359.9615605497913</v>
      </c>
      <c r="Q9" s="296">
        <f t="shared" si="3"/>
        <v>105.2304426880049</v>
      </c>
      <c r="R9" s="88"/>
      <c r="S9" s="195"/>
      <c r="T9" s="195"/>
      <c r="U9" s="196"/>
      <c r="V9" s="197"/>
      <c r="W9" s="12"/>
    </row>
    <row r="10" spans="1:23" ht="12.75">
      <c r="A10" s="1029"/>
      <c r="B10" s="109">
        <v>3</v>
      </c>
      <c r="C10" s="16" t="s">
        <v>132</v>
      </c>
      <c r="D10" s="30">
        <v>58</v>
      </c>
      <c r="E10" s="30">
        <v>2007</v>
      </c>
      <c r="F10" s="130">
        <v>39.037</v>
      </c>
      <c r="G10" s="130">
        <v>9.789705</v>
      </c>
      <c r="H10" s="130">
        <v>4.64</v>
      </c>
      <c r="I10" s="130">
        <v>24.607296</v>
      </c>
      <c r="J10" s="187">
        <v>3797.15</v>
      </c>
      <c r="K10" s="130">
        <v>24.607296</v>
      </c>
      <c r="L10" s="187">
        <v>3797.15</v>
      </c>
      <c r="M10" s="295">
        <f t="shared" si="0"/>
        <v>0.006480464558945525</v>
      </c>
      <c r="N10" s="30">
        <v>292.338</v>
      </c>
      <c r="O10" s="126">
        <f t="shared" si="1"/>
        <v>1.894486048233017</v>
      </c>
      <c r="P10" s="126">
        <f t="shared" si="2"/>
        <v>388.82787353673154</v>
      </c>
      <c r="Q10" s="296">
        <f t="shared" si="3"/>
        <v>113.66916289398102</v>
      </c>
      <c r="R10" s="88"/>
      <c r="S10" s="88"/>
      <c r="T10" s="88"/>
      <c r="U10" s="14"/>
      <c r="V10" s="12"/>
      <c r="W10" s="12"/>
    </row>
    <row r="11" spans="1:23" ht="12.75">
      <c r="A11" s="1029"/>
      <c r="B11" s="109">
        <v>4</v>
      </c>
      <c r="C11" s="16" t="s">
        <v>66</v>
      </c>
      <c r="D11" s="30">
        <v>52</v>
      </c>
      <c r="E11" s="30">
        <v>2009</v>
      </c>
      <c r="F11" s="130">
        <v>28.899</v>
      </c>
      <c r="G11" s="130">
        <v>6.816434</v>
      </c>
      <c r="H11" s="130">
        <v>4.16</v>
      </c>
      <c r="I11" s="130">
        <v>17.922566</v>
      </c>
      <c r="J11" s="187">
        <v>2687.24</v>
      </c>
      <c r="K11" s="130">
        <v>17.922566</v>
      </c>
      <c r="L11" s="187">
        <v>2687.24</v>
      </c>
      <c r="M11" s="295">
        <f t="shared" si="0"/>
        <v>0.006669507003468243</v>
      </c>
      <c r="N11" s="30">
        <v>292.338</v>
      </c>
      <c r="O11" s="126">
        <f t="shared" si="1"/>
        <v>1.9497503383798993</v>
      </c>
      <c r="P11" s="126">
        <f t="shared" si="2"/>
        <v>400.1704202080946</v>
      </c>
      <c r="Q11" s="296">
        <f t="shared" si="3"/>
        <v>116.98502030279396</v>
      </c>
      <c r="R11" s="88"/>
      <c r="S11" s="88"/>
      <c r="T11" s="88"/>
      <c r="U11" s="14"/>
      <c r="V11" s="12"/>
      <c r="W11" s="12"/>
    </row>
    <row r="12" spans="1:23" ht="12.75">
      <c r="A12" s="1029"/>
      <c r="B12" s="109">
        <v>5</v>
      </c>
      <c r="C12" s="485" t="s">
        <v>133</v>
      </c>
      <c r="D12" s="486">
        <v>60</v>
      </c>
      <c r="E12" s="486">
        <v>1965</v>
      </c>
      <c r="F12" s="552">
        <v>37.417</v>
      </c>
      <c r="G12" s="552">
        <v>7.762394</v>
      </c>
      <c r="H12" s="552">
        <v>9.6</v>
      </c>
      <c r="I12" s="552">
        <v>20.054606</v>
      </c>
      <c r="J12" s="553">
        <v>2700.04</v>
      </c>
      <c r="K12" s="552">
        <v>20.054606</v>
      </c>
      <c r="L12" s="553">
        <v>2700.04</v>
      </c>
      <c r="M12" s="549">
        <f t="shared" si="0"/>
        <v>0.007427521814491637</v>
      </c>
      <c r="N12" s="486">
        <v>292.338</v>
      </c>
      <c r="O12" s="550">
        <f t="shared" si="1"/>
        <v>2.171346872204856</v>
      </c>
      <c r="P12" s="550">
        <f t="shared" si="2"/>
        <v>445.6513088694982</v>
      </c>
      <c r="Q12" s="551">
        <f t="shared" si="3"/>
        <v>130.28081233229136</v>
      </c>
      <c r="R12" s="88"/>
      <c r="S12" s="88"/>
      <c r="T12" s="88"/>
      <c r="U12" s="14"/>
      <c r="V12" s="12"/>
      <c r="W12" s="12"/>
    </row>
    <row r="13" spans="1:23" ht="12.75">
      <c r="A13" s="1029"/>
      <c r="B13" s="109">
        <v>6</v>
      </c>
      <c r="C13" s="16" t="s">
        <v>69</v>
      </c>
      <c r="D13" s="30">
        <v>56</v>
      </c>
      <c r="E13" s="30">
        <v>2008</v>
      </c>
      <c r="F13" s="130">
        <v>37.387</v>
      </c>
      <c r="G13" s="130">
        <v>8.363923</v>
      </c>
      <c r="H13" s="130">
        <v>4.48</v>
      </c>
      <c r="I13" s="130">
        <v>24.543078</v>
      </c>
      <c r="J13" s="187">
        <v>3105.9</v>
      </c>
      <c r="K13" s="130">
        <v>24.543078</v>
      </c>
      <c r="L13" s="187">
        <v>3105.9</v>
      </c>
      <c r="M13" s="295">
        <f t="shared" si="0"/>
        <v>0.007902082488167681</v>
      </c>
      <c r="N13" s="30">
        <v>292.338</v>
      </c>
      <c r="O13" s="126">
        <f t="shared" si="1"/>
        <v>2.3100789904259638</v>
      </c>
      <c r="P13" s="126">
        <f t="shared" si="2"/>
        <v>474.1249492900609</v>
      </c>
      <c r="Q13" s="296">
        <f t="shared" si="3"/>
        <v>138.60473942555782</v>
      </c>
      <c r="R13" s="88"/>
      <c r="S13" s="88"/>
      <c r="T13" s="88"/>
      <c r="U13" s="14"/>
      <c r="V13" s="12"/>
      <c r="W13" s="12"/>
    </row>
    <row r="14" spans="1:23" ht="12.75">
      <c r="A14" s="1029"/>
      <c r="B14" s="109">
        <v>7</v>
      </c>
      <c r="C14" s="16" t="s">
        <v>72</v>
      </c>
      <c r="D14" s="30">
        <v>60</v>
      </c>
      <c r="E14" s="30">
        <v>1994</v>
      </c>
      <c r="F14" s="130">
        <v>34.342</v>
      </c>
      <c r="G14" s="130">
        <v>6.737342</v>
      </c>
      <c r="H14" s="130">
        <v>9.52</v>
      </c>
      <c r="I14" s="130">
        <v>18.084659000000002</v>
      </c>
      <c r="J14" s="187">
        <v>2203.82</v>
      </c>
      <c r="K14" s="130">
        <v>18.084659000000002</v>
      </c>
      <c r="L14" s="187">
        <v>2203.82</v>
      </c>
      <c r="M14" s="295">
        <f t="shared" si="0"/>
        <v>0.008206050857148043</v>
      </c>
      <c r="N14" s="30">
        <v>292.338</v>
      </c>
      <c r="O14" s="126">
        <f t="shared" si="1"/>
        <v>2.398940495476945</v>
      </c>
      <c r="P14" s="126">
        <f t="shared" si="2"/>
        <v>492.3630514288826</v>
      </c>
      <c r="Q14" s="296">
        <f t="shared" si="3"/>
        <v>143.9364297286167</v>
      </c>
      <c r="R14" s="88"/>
      <c r="S14" s="88"/>
      <c r="T14" s="88"/>
      <c r="U14" s="14"/>
      <c r="V14" s="12"/>
      <c r="W14" s="12"/>
    </row>
    <row r="15" spans="1:23" ht="12.75">
      <c r="A15" s="1029"/>
      <c r="B15" s="109">
        <v>8</v>
      </c>
      <c r="C15" s="16" t="s">
        <v>68</v>
      </c>
      <c r="D15" s="30">
        <v>64</v>
      </c>
      <c r="E15" s="30">
        <v>2006</v>
      </c>
      <c r="F15" s="130">
        <v>44.4</v>
      </c>
      <c r="G15" s="130">
        <v>9.792476</v>
      </c>
      <c r="H15" s="130">
        <v>5.12</v>
      </c>
      <c r="I15" s="130">
        <v>29.487524</v>
      </c>
      <c r="J15" s="187">
        <v>3331.47</v>
      </c>
      <c r="K15" s="130">
        <v>29.487524</v>
      </c>
      <c r="L15" s="187">
        <v>3331.47</v>
      </c>
      <c r="M15" s="295">
        <f t="shared" si="0"/>
        <v>0.008851205023608198</v>
      </c>
      <c r="N15" s="30">
        <v>292.338</v>
      </c>
      <c r="O15" s="126">
        <f t="shared" si="1"/>
        <v>2.5875435741915735</v>
      </c>
      <c r="P15" s="126">
        <f t="shared" si="2"/>
        <v>531.0723014164919</v>
      </c>
      <c r="Q15" s="296">
        <f t="shared" si="3"/>
        <v>155.25261445149442</v>
      </c>
      <c r="R15" s="88"/>
      <c r="S15" s="88"/>
      <c r="T15" s="88"/>
      <c r="U15" s="14"/>
      <c r="V15" s="12"/>
      <c r="W15" s="12"/>
    </row>
    <row r="16" spans="1:23" ht="12.75">
      <c r="A16" s="1029"/>
      <c r="B16" s="109">
        <v>9</v>
      </c>
      <c r="C16" s="16" t="s">
        <v>70</v>
      </c>
      <c r="D16" s="30">
        <v>21</v>
      </c>
      <c r="E16" s="30">
        <v>2005</v>
      </c>
      <c r="F16" s="130">
        <v>22.909</v>
      </c>
      <c r="G16" s="130">
        <v>4.931956</v>
      </c>
      <c r="H16" s="130">
        <v>1.68</v>
      </c>
      <c r="I16" s="130">
        <v>16.297045</v>
      </c>
      <c r="J16" s="187">
        <v>1763.36</v>
      </c>
      <c r="K16" s="130">
        <v>16.297045</v>
      </c>
      <c r="L16" s="187">
        <v>1763.36</v>
      </c>
      <c r="M16" s="295">
        <f t="shared" si="0"/>
        <v>0.00924204076308865</v>
      </c>
      <c r="N16" s="30">
        <v>292.338</v>
      </c>
      <c r="O16" s="126">
        <f t="shared" si="1"/>
        <v>2.7017997125998097</v>
      </c>
      <c r="P16" s="126">
        <f t="shared" si="2"/>
        <v>554.522445785319</v>
      </c>
      <c r="Q16" s="296">
        <f t="shared" si="3"/>
        <v>162.1079827559886</v>
      </c>
      <c r="R16" s="88"/>
      <c r="S16" s="88"/>
      <c r="T16" s="88"/>
      <c r="U16" s="14"/>
      <c r="V16" s="12"/>
      <c r="W16" s="12"/>
    </row>
    <row r="17" spans="1:23" ht="13.5" thickBot="1">
      <c r="A17" s="1030"/>
      <c r="B17" s="110">
        <v>10</v>
      </c>
      <c r="C17" s="64" t="s">
        <v>73</v>
      </c>
      <c r="D17" s="63">
        <v>45</v>
      </c>
      <c r="E17" s="63">
        <v>2001</v>
      </c>
      <c r="F17" s="235">
        <v>44.642</v>
      </c>
      <c r="G17" s="235">
        <v>8.40735</v>
      </c>
      <c r="H17" s="235">
        <v>7.12</v>
      </c>
      <c r="I17" s="235">
        <v>29.11465</v>
      </c>
      <c r="J17" s="364">
        <v>3135.61</v>
      </c>
      <c r="K17" s="235">
        <v>29.11465</v>
      </c>
      <c r="L17" s="364">
        <v>3135.61</v>
      </c>
      <c r="M17" s="297">
        <f t="shared" si="0"/>
        <v>0.009285163014533058</v>
      </c>
      <c r="N17" s="63">
        <v>292.338</v>
      </c>
      <c r="O17" s="127">
        <f t="shared" si="1"/>
        <v>2.714405985342565</v>
      </c>
      <c r="P17" s="127">
        <f t="shared" si="2"/>
        <v>557.1097808719835</v>
      </c>
      <c r="Q17" s="128">
        <f t="shared" si="3"/>
        <v>162.8643591205539</v>
      </c>
      <c r="R17" s="88"/>
      <c r="S17" s="88"/>
      <c r="T17" s="88"/>
      <c r="U17" s="14"/>
      <c r="V17" s="12"/>
      <c r="W17" s="12"/>
    </row>
    <row r="18" spans="1:23" ht="12.75" customHeight="1">
      <c r="A18" s="1073" t="s">
        <v>45</v>
      </c>
      <c r="B18" s="902">
        <v>1</v>
      </c>
      <c r="C18" s="801" t="s">
        <v>74</v>
      </c>
      <c r="D18" s="752">
        <v>59</v>
      </c>
      <c r="E18" s="752">
        <v>2001</v>
      </c>
      <c r="F18" s="802">
        <v>53.632</v>
      </c>
      <c r="G18" s="802">
        <v>9.285998</v>
      </c>
      <c r="H18" s="802">
        <v>9.12</v>
      </c>
      <c r="I18" s="802">
        <v>35.226002</v>
      </c>
      <c r="J18" s="803">
        <v>3432.83</v>
      </c>
      <c r="K18" s="802">
        <v>35.226002</v>
      </c>
      <c r="L18" s="803">
        <v>3432.83</v>
      </c>
      <c r="M18" s="829">
        <f t="shared" si="0"/>
        <v>0.010261504939073593</v>
      </c>
      <c r="N18" s="752">
        <v>292.338</v>
      </c>
      <c r="O18" s="805">
        <f t="shared" si="1"/>
        <v>2.999827830878896</v>
      </c>
      <c r="P18" s="805">
        <f t="shared" si="2"/>
        <v>615.6902963444155</v>
      </c>
      <c r="Q18" s="806">
        <f t="shared" si="3"/>
        <v>179.98966985273375</v>
      </c>
      <c r="R18" s="88"/>
      <c r="S18" s="88"/>
      <c r="T18" s="88"/>
      <c r="U18" s="14"/>
      <c r="V18" s="12"/>
      <c r="W18" s="12"/>
    </row>
    <row r="19" spans="1:24" s="7" customFormat="1" ht="12.75">
      <c r="A19" s="1020"/>
      <c r="B19" s="903">
        <v>2</v>
      </c>
      <c r="C19" s="765" t="s">
        <v>71</v>
      </c>
      <c r="D19" s="725">
        <v>50</v>
      </c>
      <c r="E19" s="725">
        <v>2006</v>
      </c>
      <c r="F19" s="727">
        <v>39.546</v>
      </c>
      <c r="G19" s="727">
        <v>8.790341</v>
      </c>
      <c r="H19" s="727">
        <v>4</v>
      </c>
      <c r="I19" s="727">
        <v>26.755659</v>
      </c>
      <c r="J19" s="728">
        <v>2532.37</v>
      </c>
      <c r="K19" s="727">
        <v>26.755659</v>
      </c>
      <c r="L19" s="728">
        <v>2532.37</v>
      </c>
      <c r="M19" s="729">
        <f t="shared" si="0"/>
        <v>0.01056546199804926</v>
      </c>
      <c r="N19" s="725">
        <v>292.338</v>
      </c>
      <c r="O19" s="730">
        <f t="shared" si="1"/>
        <v>3.0886860295857246</v>
      </c>
      <c r="P19" s="730">
        <f t="shared" si="2"/>
        <v>633.9277198829556</v>
      </c>
      <c r="Q19" s="731">
        <f t="shared" si="3"/>
        <v>185.32116177514348</v>
      </c>
      <c r="R19" s="88"/>
      <c r="S19" s="88"/>
      <c r="T19" s="88"/>
      <c r="U19" s="14"/>
      <c r="V19" s="12"/>
      <c r="W19" s="12"/>
      <c r="X19" s="1"/>
    </row>
    <row r="20" spans="1:24" ht="12.75">
      <c r="A20" s="1020"/>
      <c r="B20" s="903">
        <v>3</v>
      </c>
      <c r="C20" s="765" t="s">
        <v>76</v>
      </c>
      <c r="D20" s="725">
        <v>40</v>
      </c>
      <c r="E20" s="725">
        <v>1996</v>
      </c>
      <c r="F20" s="727">
        <v>50.286</v>
      </c>
      <c r="G20" s="727">
        <v>8.08605</v>
      </c>
      <c r="H20" s="727">
        <v>7.19516</v>
      </c>
      <c r="I20" s="727">
        <v>35.00479</v>
      </c>
      <c r="J20" s="728">
        <v>2861.83</v>
      </c>
      <c r="K20" s="727">
        <v>35.00479</v>
      </c>
      <c r="L20" s="728">
        <v>2861.83</v>
      </c>
      <c r="M20" s="729">
        <f t="shared" si="0"/>
        <v>0.012231610542904366</v>
      </c>
      <c r="N20" s="725">
        <v>292.338</v>
      </c>
      <c r="O20" s="730">
        <f t="shared" si="1"/>
        <v>3.575764562891577</v>
      </c>
      <c r="P20" s="730">
        <f t="shared" si="2"/>
        <v>733.896632574262</v>
      </c>
      <c r="Q20" s="731">
        <f t="shared" si="3"/>
        <v>214.5458737734946</v>
      </c>
      <c r="R20" s="88"/>
      <c r="S20" s="88"/>
      <c r="T20" s="88"/>
      <c r="U20" s="14"/>
      <c r="V20" s="13"/>
      <c r="W20" s="13"/>
      <c r="X20" s="8"/>
    </row>
    <row r="21" spans="1:23" ht="12.75">
      <c r="A21" s="1020"/>
      <c r="B21" s="903">
        <v>4</v>
      </c>
      <c r="C21" s="765" t="s">
        <v>79</v>
      </c>
      <c r="D21" s="725">
        <v>71</v>
      </c>
      <c r="E21" s="725">
        <v>2006</v>
      </c>
      <c r="F21" s="727">
        <v>57.272</v>
      </c>
      <c r="G21" s="727">
        <v>8.3589</v>
      </c>
      <c r="H21" s="727">
        <v>5.68</v>
      </c>
      <c r="I21" s="727">
        <v>43.2331</v>
      </c>
      <c r="J21" s="728">
        <v>3533.18</v>
      </c>
      <c r="K21" s="727">
        <v>43.2331</v>
      </c>
      <c r="L21" s="728">
        <v>3533.18</v>
      </c>
      <c r="M21" s="729">
        <f t="shared" si="0"/>
        <v>0.012236314028722002</v>
      </c>
      <c r="N21" s="725">
        <v>292.338</v>
      </c>
      <c r="O21" s="730">
        <f t="shared" si="1"/>
        <v>3.5771395705285327</v>
      </c>
      <c r="P21" s="730">
        <f t="shared" si="2"/>
        <v>734.1788417233201</v>
      </c>
      <c r="Q21" s="731">
        <f t="shared" si="3"/>
        <v>214.62837423171197</v>
      </c>
      <c r="R21" s="88"/>
      <c r="S21" s="88"/>
      <c r="T21" s="88"/>
      <c r="U21" s="14"/>
      <c r="V21" s="12"/>
      <c r="W21" s="12"/>
    </row>
    <row r="22" spans="1:24" ht="12.75">
      <c r="A22" s="1020"/>
      <c r="B22" s="903">
        <v>5</v>
      </c>
      <c r="C22" s="765" t="s">
        <v>75</v>
      </c>
      <c r="D22" s="725">
        <v>50</v>
      </c>
      <c r="E22" s="725">
        <v>2000</v>
      </c>
      <c r="F22" s="727">
        <v>48.01</v>
      </c>
      <c r="G22" s="727">
        <v>5.767335</v>
      </c>
      <c r="H22" s="727">
        <v>8</v>
      </c>
      <c r="I22" s="727">
        <v>34.242665</v>
      </c>
      <c r="J22" s="728">
        <v>2639.5</v>
      </c>
      <c r="K22" s="727">
        <v>34.242665</v>
      </c>
      <c r="L22" s="728">
        <v>2639.5</v>
      </c>
      <c r="M22" s="729">
        <f t="shared" si="0"/>
        <v>0.012973163477931426</v>
      </c>
      <c r="N22" s="725">
        <v>292.338</v>
      </c>
      <c r="O22" s="730">
        <f t="shared" si="1"/>
        <v>3.7925486648115174</v>
      </c>
      <c r="P22" s="730">
        <f t="shared" si="2"/>
        <v>778.3898086758855</v>
      </c>
      <c r="Q22" s="731">
        <f t="shared" si="3"/>
        <v>227.55291988869104</v>
      </c>
      <c r="R22" s="88"/>
      <c r="S22" s="88"/>
      <c r="T22" s="88"/>
      <c r="U22" s="14"/>
      <c r="V22" s="12"/>
      <c r="W22" s="12"/>
      <c r="X22" s="7"/>
    </row>
    <row r="23" spans="1:24" ht="12.75">
      <c r="A23" s="1020"/>
      <c r="B23" s="903">
        <v>6</v>
      </c>
      <c r="C23" s="765" t="s">
        <v>81</v>
      </c>
      <c r="D23" s="725">
        <v>40</v>
      </c>
      <c r="E23" s="725">
        <v>1995</v>
      </c>
      <c r="F23" s="727">
        <v>51.711</v>
      </c>
      <c r="G23" s="727">
        <v>9.089792</v>
      </c>
      <c r="H23" s="727">
        <v>6.4</v>
      </c>
      <c r="I23" s="727">
        <v>36.221208</v>
      </c>
      <c r="J23" s="728">
        <v>2734.01</v>
      </c>
      <c r="K23" s="727">
        <v>36.221208</v>
      </c>
      <c r="L23" s="728">
        <v>2734.01</v>
      </c>
      <c r="M23" s="729">
        <f t="shared" si="0"/>
        <v>0.013248381681120403</v>
      </c>
      <c r="N23" s="725">
        <v>292.338</v>
      </c>
      <c r="O23" s="730">
        <f t="shared" si="1"/>
        <v>3.8730054038953767</v>
      </c>
      <c r="P23" s="730">
        <f t="shared" si="2"/>
        <v>794.9029008672242</v>
      </c>
      <c r="Q23" s="731">
        <f t="shared" si="3"/>
        <v>232.3803242337226</v>
      </c>
      <c r="R23" s="88"/>
      <c r="S23" s="88"/>
      <c r="T23" s="88"/>
      <c r="U23" s="14"/>
      <c r="V23" s="13"/>
      <c r="W23" s="13"/>
      <c r="X23" s="8"/>
    </row>
    <row r="24" spans="1:23" ht="12.75">
      <c r="A24" s="1020"/>
      <c r="B24" s="903">
        <v>7</v>
      </c>
      <c r="C24" s="765" t="s">
        <v>77</v>
      </c>
      <c r="D24" s="725">
        <v>42</v>
      </c>
      <c r="E24" s="725">
        <v>2000</v>
      </c>
      <c r="F24" s="727">
        <v>50.7875</v>
      </c>
      <c r="G24" s="727">
        <v>6.615567</v>
      </c>
      <c r="H24" s="727">
        <v>6.64</v>
      </c>
      <c r="I24" s="727">
        <v>37.531933</v>
      </c>
      <c r="J24" s="728">
        <v>2801.69</v>
      </c>
      <c r="K24" s="727">
        <v>36.964333</v>
      </c>
      <c r="L24" s="728">
        <v>2759.32</v>
      </c>
      <c r="M24" s="729">
        <f t="shared" si="0"/>
        <v>0.013396174782192715</v>
      </c>
      <c r="N24" s="725">
        <v>292.338</v>
      </c>
      <c r="O24" s="730">
        <f t="shared" si="1"/>
        <v>3.9162109434766545</v>
      </c>
      <c r="P24" s="730">
        <f t="shared" si="2"/>
        <v>803.7704869315629</v>
      </c>
      <c r="Q24" s="731">
        <f t="shared" si="3"/>
        <v>234.97265660859927</v>
      </c>
      <c r="R24" s="88"/>
      <c r="S24" s="88"/>
      <c r="T24" s="88"/>
      <c r="U24" s="14"/>
      <c r="V24" s="12"/>
      <c r="W24" s="12"/>
    </row>
    <row r="25" spans="1:24" s="8" customFormat="1" ht="12.75">
      <c r="A25" s="1020"/>
      <c r="B25" s="903">
        <v>8</v>
      </c>
      <c r="C25" s="765" t="s">
        <v>136</v>
      </c>
      <c r="D25" s="725">
        <v>28</v>
      </c>
      <c r="E25" s="725">
        <v>2000</v>
      </c>
      <c r="F25" s="727">
        <v>29.168</v>
      </c>
      <c r="G25" s="727">
        <v>3.1059</v>
      </c>
      <c r="H25" s="727">
        <v>4.4</v>
      </c>
      <c r="I25" s="727">
        <v>21.6621</v>
      </c>
      <c r="J25" s="728">
        <v>1552.52</v>
      </c>
      <c r="K25" s="727">
        <v>20.422668</v>
      </c>
      <c r="L25" s="728">
        <v>1463.69</v>
      </c>
      <c r="M25" s="729">
        <f t="shared" si="0"/>
        <v>0.013952864336027437</v>
      </c>
      <c r="N25" s="725">
        <v>292.338</v>
      </c>
      <c r="O25" s="730">
        <f t="shared" si="1"/>
        <v>4.07895245426559</v>
      </c>
      <c r="P25" s="730">
        <f t="shared" si="2"/>
        <v>837.1718601616462</v>
      </c>
      <c r="Q25" s="731">
        <f t="shared" si="3"/>
        <v>244.73714725593538</v>
      </c>
      <c r="R25" s="88"/>
      <c r="S25" s="88"/>
      <c r="T25" s="88"/>
      <c r="U25" s="14"/>
      <c r="V25" s="12"/>
      <c r="W25" s="12"/>
      <c r="X25" s="1"/>
    </row>
    <row r="26" spans="1:24" s="8" customFormat="1" ht="12.75">
      <c r="A26" s="1020"/>
      <c r="B26" s="903">
        <v>9</v>
      </c>
      <c r="C26" s="765" t="s">
        <v>80</v>
      </c>
      <c r="D26" s="725">
        <v>39</v>
      </c>
      <c r="E26" s="725">
        <v>1999</v>
      </c>
      <c r="F26" s="727">
        <v>43.433</v>
      </c>
      <c r="G26" s="727">
        <v>4.9572</v>
      </c>
      <c r="H26" s="727">
        <v>6.22323</v>
      </c>
      <c r="I26" s="727">
        <v>32.25257</v>
      </c>
      <c r="J26" s="728">
        <v>2296.95</v>
      </c>
      <c r="K26" s="727">
        <v>32.25257</v>
      </c>
      <c r="L26" s="728">
        <v>2296.95</v>
      </c>
      <c r="M26" s="729">
        <f t="shared" si="0"/>
        <v>0.014041476740895537</v>
      </c>
      <c r="N26" s="725">
        <v>292.338</v>
      </c>
      <c r="O26" s="730">
        <f t="shared" si="1"/>
        <v>4.104857227479919</v>
      </c>
      <c r="P26" s="730">
        <f t="shared" si="2"/>
        <v>842.4886044537321</v>
      </c>
      <c r="Q26" s="731">
        <f t="shared" si="3"/>
        <v>246.29143364879516</v>
      </c>
      <c r="R26" s="88"/>
      <c r="S26" s="88"/>
      <c r="T26" s="88"/>
      <c r="U26" s="14"/>
      <c r="V26" s="12"/>
      <c r="W26" s="12"/>
      <c r="X26" s="1"/>
    </row>
    <row r="27" spans="1:23" ht="13.5" customHeight="1" thickBot="1">
      <c r="A27" s="1021"/>
      <c r="B27" s="904">
        <v>10</v>
      </c>
      <c r="C27" s="773" t="s">
        <v>78</v>
      </c>
      <c r="D27" s="736">
        <v>28</v>
      </c>
      <c r="E27" s="736">
        <v>1999</v>
      </c>
      <c r="F27" s="737">
        <v>39.558</v>
      </c>
      <c r="G27" s="737">
        <v>3.970452</v>
      </c>
      <c r="H27" s="737">
        <v>4.16</v>
      </c>
      <c r="I27" s="737">
        <v>31.427548</v>
      </c>
      <c r="J27" s="738">
        <v>2189.32</v>
      </c>
      <c r="K27" s="737">
        <v>31.427548</v>
      </c>
      <c r="L27" s="738">
        <v>2189.32</v>
      </c>
      <c r="M27" s="739">
        <f t="shared" si="0"/>
        <v>0.014354935779146035</v>
      </c>
      <c r="N27" s="736">
        <v>292.338</v>
      </c>
      <c r="O27" s="740">
        <f t="shared" si="1"/>
        <v>4.196493215803994</v>
      </c>
      <c r="P27" s="740">
        <f t="shared" si="2"/>
        <v>861.2961467487621</v>
      </c>
      <c r="Q27" s="742">
        <f t="shared" si="3"/>
        <v>251.7895929482396</v>
      </c>
      <c r="R27" s="88"/>
      <c r="S27" s="88"/>
      <c r="T27" s="88"/>
      <c r="U27" s="14"/>
      <c r="V27" s="12"/>
      <c r="W27" s="12"/>
    </row>
    <row r="28" spans="1:23" ht="12.75" customHeight="1">
      <c r="A28" s="1063" t="s">
        <v>46</v>
      </c>
      <c r="B28" s="111">
        <v>1</v>
      </c>
      <c r="C28" s="31" t="s">
        <v>84</v>
      </c>
      <c r="D28" s="32">
        <v>60</v>
      </c>
      <c r="E28" s="32">
        <v>1981</v>
      </c>
      <c r="F28" s="373">
        <v>74.928</v>
      </c>
      <c r="G28" s="373">
        <v>6.945649</v>
      </c>
      <c r="H28" s="373">
        <v>9.6</v>
      </c>
      <c r="I28" s="373">
        <v>58.382351</v>
      </c>
      <c r="J28" s="375">
        <v>3285.91</v>
      </c>
      <c r="K28" s="373">
        <v>58.382351</v>
      </c>
      <c r="L28" s="375">
        <v>3285.91</v>
      </c>
      <c r="M28" s="298">
        <f t="shared" si="0"/>
        <v>0.017767483284691302</v>
      </c>
      <c r="N28" s="32">
        <v>292.338</v>
      </c>
      <c r="O28" s="299">
        <f t="shared" si="1"/>
        <v>5.194110528480087</v>
      </c>
      <c r="P28" s="299">
        <f t="shared" si="2"/>
        <v>1066.048997081478</v>
      </c>
      <c r="Q28" s="300">
        <f t="shared" si="3"/>
        <v>311.6466317088052</v>
      </c>
      <c r="R28" s="88"/>
      <c r="S28" s="88"/>
      <c r="T28" s="88"/>
      <c r="U28" s="14"/>
      <c r="V28" s="12"/>
      <c r="W28" s="12"/>
    </row>
    <row r="29" spans="1:24" s="7" customFormat="1" ht="12.75">
      <c r="A29" s="919"/>
      <c r="B29" s="112">
        <v>2</v>
      </c>
      <c r="C29" s="33" t="s">
        <v>83</v>
      </c>
      <c r="D29" s="34">
        <v>60</v>
      </c>
      <c r="E29" s="34">
        <v>1985</v>
      </c>
      <c r="F29" s="200">
        <v>79.122</v>
      </c>
      <c r="G29" s="200">
        <v>8.132317</v>
      </c>
      <c r="H29" s="200">
        <v>9.6</v>
      </c>
      <c r="I29" s="200">
        <v>61.389683</v>
      </c>
      <c r="J29" s="309">
        <v>3189.58</v>
      </c>
      <c r="K29" s="200">
        <v>61.389683</v>
      </c>
      <c r="L29" s="309">
        <v>3189.58</v>
      </c>
      <c r="M29" s="301">
        <f t="shared" si="0"/>
        <v>0.019246948814577468</v>
      </c>
      <c r="N29" s="34">
        <v>292.338</v>
      </c>
      <c r="O29" s="176">
        <f t="shared" si="1"/>
        <v>5.626614522555948</v>
      </c>
      <c r="P29" s="176">
        <f t="shared" si="2"/>
        <v>1154.816928874648</v>
      </c>
      <c r="Q29" s="177">
        <f t="shared" si="3"/>
        <v>337.59687135335685</v>
      </c>
      <c r="R29" s="88"/>
      <c r="S29" s="88"/>
      <c r="T29" s="88"/>
      <c r="U29" s="14"/>
      <c r="V29" s="12"/>
      <c r="W29" s="12"/>
      <c r="X29" s="1"/>
    </row>
    <row r="30" spans="1:24" ht="12.75">
      <c r="A30" s="919"/>
      <c r="B30" s="112">
        <v>3</v>
      </c>
      <c r="C30" s="33" t="s">
        <v>91</v>
      </c>
      <c r="D30" s="34">
        <v>44</v>
      </c>
      <c r="E30" s="34" t="s">
        <v>67</v>
      </c>
      <c r="F30" s="200">
        <v>58.755</v>
      </c>
      <c r="G30" s="200">
        <v>6.26535</v>
      </c>
      <c r="H30" s="200">
        <v>7.04</v>
      </c>
      <c r="I30" s="200">
        <v>45.44965</v>
      </c>
      <c r="J30" s="309">
        <v>2337.92</v>
      </c>
      <c r="K30" s="200">
        <v>45.44965</v>
      </c>
      <c r="L30" s="309">
        <v>2337.92</v>
      </c>
      <c r="M30" s="301">
        <f t="shared" si="0"/>
        <v>0.019440207534902817</v>
      </c>
      <c r="N30" s="34">
        <v>292.338</v>
      </c>
      <c r="O30" s="176">
        <f t="shared" si="1"/>
        <v>5.6831113903384205</v>
      </c>
      <c r="P30" s="176">
        <f t="shared" si="2"/>
        <v>1166.4124520941689</v>
      </c>
      <c r="Q30" s="177">
        <f t="shared" si="3"/>
        <v>340.9866834203052</v>
      </c>
      <c r="R30" s="88"/>
      <c r="S30" s="88"/>
      <c r="T30" s="88"/>
      <c r="U30" s="14"/>
      <c r="V30" s="12"/>
      <c r="W30" s="12"/>
      <c r="X30" s="7"/>
    </row>
    <row r="31" spans="1:23" s="7" customFormat="1" ht="12.75">
      <c r="A31" s="919"/>
      <c r="B31" s="112">
        <v>4</v>
      </c>
      <c r="C31" s="33" t="s">
        <v>86</v>
      </c>
      <c r="D31" s="34">
        <v>72</v>
      </c>
      <c r="E31" s="34">
        <v>1980</v>
      </c>
      <c r="F31" s="200">
        <v>109.865</v>
      </c>
      <c r="G31" s="200">
        <v>18.035052</v>
      </c>
      <c r="H31" s="200">
        <v>11.52</v>
      </c>
      <c r="I31" s="200">
        <v>80.309949</v>
      </c>
      <c r="J31" s="309">
        <v>4129.55</v>
      </c>
      <c r="K31" s="200">
        <v>80.309949</v>
      </c>
      <c r="L31" s="309">
        <v>4129.55</v>
      </c>
      <c r="M31" s="301">
        <f t="shared" si="0"/>
        <v>0.019447627223305203</v>
      </c>
      <c r="N31" s="34">
        <v>292.338</v>
      </c>
      <c r="O31" s="176">
        <f t="shared" si="1"/>
        <v>5.685280447206597</v>
      </c>
      <c r="P31" s="176">
        <f t="shared" si="2"/>
        <v>1166.8576333983124</v>
      </c>
      <c r="Q31" s="177">
        <f t="shared" si="3"/>
        <v>341.1168268323958</v>
      </c>
      <c r="R31" s="88"/>
      <c r="S31" s="88"/>
      <c r="T31" s="88"/>
      <c r="U31" s="14"/>
      <c r="V31" s="12"/>
      <c r="W31" s="12"/>
    </row>
    <row r="32" spans="1:23" ht="12.75">
      <c r="A32" s="919"/>
      <c r="B32" s="112">
        <v>5</v>
      </c>
      <c r="C32" s="33" t="s">
        <v>89</v>
      </c>
      <c r="D32" s="34">
        <v>22</v>
      </c>
      <c r="E32" s="34">
        <v>1989</v>
      </c>
      <c r="F32" s="200">
        <v>29.994</v>
      </c>
      <c r="G32" s="200">
        <v>3.242774</v>
      </c>
      <c r="H32" s="200">
        <v>3.52</v>
      </c>
      <c r="I32" s="200">
        <v>23.231226</v>
      </c>
      <c r="J32" s="309">
        <v>1179.64</v>
      </c>
      <c r="K32" s="200">
        <v>23.231226</v>
      </c>
      <c r="L32" s="309">
        <v>1179.64</v>
      </c>
      <c r="M32" s="301">
        <f t="shared" si="0"/>
        <v>0.019693487843748938</v>
      </c>
      <c r="N32" s="34">
        <v>292.338</v>
      </c>
      <c r="O32" s="176">
        <f t="shared" si="1"/>
        <v>5.757154849265877</v>
      </c>
      <c r="P32" s="176">
        <f t="shared" si="2"/>
        <v>1181.6092706249365</v>
      </c>
      <c r="Q32" s="177">
        <f t="shared" si="3"/>
        <v>345.42929095595264</v>
      </c>
      <c r="R32" s="88"/>
      <c r="S32" s="88"/>
      <c r="T32" s="88"/>
      <c r="U32" s="14"/>
      <c r="V32" s="12"/>
      <c r="W32" s="12"/>
    </row>
    <row r="33" spans="1:23" ht="12.75">
      <c r="A33" s="919"/>
      <c r="B33" s="112">
        <v>6</v>
      </c>
      <c r="C33" s="33" t="s">
        <v>90</v>
      </c>
      <c r="D33" s="34">
        <v>37</v>
      </c>
      <c r="E33" s="34">
        <v>1987</v>
      </c>
      <c r="F33" s="200">
        <v>54.384</v>
      </c>
      <c r="G33" s="200">
        <v>6.077068</v>
      </c>
      <c r="H33" s="200">
        <v>5.76</v>
      </c>
      <c r="I33" s="200">
        <v>42.546932</v>
      </c>
      <c r="J33" s="309">
        <v>2115.27</v>
      </c>
      <c r="K33" s="200">
        <v>42.546932</v>
      </c>
      <c r="L33" s="309">
        <v>2115.27</v>
      </c>
      <c r="M33" s="301">
        <f t="shared" si="0"/>
        <v>0.020114184950384584</v>
      </c>
      <c r="N33" s="34">
        <v>292.338</v>
      </c>
      <c r="O33" s="176">
        <f t="shared" si="1"/>
        <v>5.880140600025529</v>
      </c>
      <c r="P33" s="176">
        <f t="shared" si="2"/>
        <v>1206.851097023075</v>
      </c>
      <c r="Q33" s="177">
        <f t="shared" si="3"/>
        <v>352.80843600153173</v>
      </c>
      <c r="R33" s="88"/>
      <c r="S33" s="88"/>
      <c r="T33" s="88"/>
      <c r="U33" s="14"/>
      <c r="V33" s="12"/>
      <c r="W33" s="12"/>
    </row>
    <row r="34" spans="1:24" s="7" customFormat="1" ht="12.75">
      <c r="A34" s="919"/>
      <c r="B34" s="112">
        <v>7</v>
      </c>
      <c r="C34" s="33" t="s">
        <v>87</v>
      </c>
      <c r="D34" s="34">
        <v>49</v>
      </c>
      <c r="E34" s="34">
        <v>1986</v>
      </c>
      <c r="F34" s="200">
        <v>70.844</v>
      </c>
      <c r="G34" s="200">
        <v>5.995356</v>
      </c>
      <c r="H34" s="200">
        <v>7.68</v>
      </c>
      <c r="I34" s="200">
        <v>57.168644</v>
      </c>
      <c r="J34" s="309">
        <v>2820.68</v>
      </c>
      <c r="K34" s="200">
        <v>57.168644</v>
      </c>
      <c r="L34" s="309">
        <v>2820.68</v>
      </c>
      <c r="M34" s="301">
        <f t="shared" si="0"/>
        <v>0.020267681551966194</v>
      </c>
      <c r="N34" s="34">
        <v>292.338</v>
      </c>
      <c r="O34" s="176">
        <f t="shared" si="1"/>
        <v>5.925013489538694</v>
      </c>
      <c r="P34" s="176">
        <f t="shared" si="2"/>
        <v>1216.0608931179718</v>
      </c>
      <c r="Q34" s="177">
        <f t="shared" si="3"/>
        <v>355.5008093723216</v>
      </c>
      <c r="R34" s="88"/>
      <c r="S34" s="88"/>
      <c r="T34" s="88"/>
      <c r="U34" s="14"/>
      <c r="V34" s="12"/>
      <c r="W34" s="12"/>
      <c r="X34" s="1"/>
    </row>
    <row r="35" spans="1:24" ht="12.75">
      <c r="A35" s="919"/>
      <c r="B35" s="112">
        <v>8</v>
      </c>
      <c r="C35" s="33" t="s">
        <v>88</v>
      </c>
      <c r="D35" s="34">
        <v>40</v>
      </c>
      <c r="E35" s="34">
        <v>1985</v>
      </c>
      <c r="F35" s="200">
        <v>56.752</v>
      </c>
      <c r="G35" s="200">
        <v>5.698148</v>
      </c>
      <c r="H35" s="200">
        <v>6.4</v>
      </c>
      <c r="I35" s="200">
        <v>44.653852</v>
      </c>
      <c r="J35" s="309">
        <v>2161.15</v>
      </c>
      <c r="K35" s="200">
        <v>44.653852</v>
      </c>
      <c r="L35" s="309">
        <v>2161.15</v>
      </c>
      <c r="M35" s="301">
        <f t="shared" si="0"/>
        <v>0.020662078985725193</v>
      </c>
      <c r="N35" s="34">
        <v>292.338</v>
      </c>
      <c r="O35" s="176">
        <f t="shared" si="1"/>
        <v>6.040310846528932</v>
      </c>
      <c r="P35" s="176">
        <f t="shared" si="2"/>
        <v>1239.7247391435117</v>
      </c>
      <c r="Q35" s="177">
        <f t="shared" si="3"/>
        <v>362.4186507917359</v>
      </c>
      <c r="R35" s="88"/>
      <c r="S35" s="88"/>
      <c r="T35" s="88"/>
      <c r="U35" s="14"/>
      <c r="V35" s="12"/>
      <c r="W35" s="12"/>
      <c r="X35" s="7"/>
    </row>
    <row r="36" spans="1:23" s="7" customFormat="1" ht="12.75">
      <c r="A36" s="919"/>
      <c r="B36" s="112">
        <v>9</v>
      </c>
      <c r="C36" s="33" t="s">
        <v>82</v>
      </c>
      <c r="D36" s="34">
        <v>38</v>
      </c>
      <c r="E36" s="34" t="s">
        <v>67</v>
      </c>
      <c r="F36" s="200">
        <v>59.815</v>
      </c>
      <c r="G36" s="200">
        <v>3.883715</v>
      </c>
      <c r="H36" s="200">
        <v>6</v>
      </c>
      <c r="I36" s="200">
        <v>49.931285</v>
      </c>
      <c r="J36" s="309">
        <v>2277.52</v>
      </c>
      <c r="K36" s="200">
        <v>49.931285</v>
      </c>
      <c r="L36" s="309">
        <v>2277.52</v>
      </c>
      <c r="M36" s="301">
        <f t="shared" si="0"/>
        <v>0.02192353305349679</v>
      </c>
      <c r="N36" s="34">
        <v>292.338</v>
      </c>
      <c r="O36" s="176">
        <f t="shared" si="1"/>
        <v>6.409081805793145</v>
      </c>
      <c r="P36" s="176">
        <f t="shared" si="2"/>
        <v>1315.4119832098072</v>
      </c>
      <c r="Q36" s="177">
        <f t="shared" si="3"/>
        <v>384.54490834758866</v>
      </c>
      <c r="R36" s="88"/>
      <c r="S36" s="88"/>
      <c r="T36" s="88"/>
      <c r="U36" s="14"/>
      <c r="V36" s="12"/>
      <c r="W36" s="12"/>
    </row>
    <row r="37" spans="1:23" ht="13.5" thickBot="1">
      <c r="A37" s="921"/>
      <c r="B37" s="113">
        <v>10</v>
      </c>
      <c r="C37" s="35" t="s">
        <v>85</v>
      </c>
      <c r="D37" s="36">
        <v>145</v>
      </c>
      <c r="E37" s="36">
        <v>1980</v>
      </c>
      <c r="F37" s="374">
        <v>224.581</v>
      </c>
      <c r="G37" s="374">
        <v>17.524398</v>
      </c>
      <c r="H37" s="374">
        <v>22.88</v>
      </c>
      <c r="I37" s="374">
        <v>184.176602</v>
      </c>
      <c r="J37" s="311">
        <v>8328.31</v>
      </c>
      <c r="K37" s="374">
        <v>184.176602</v>
      </c>
      <c r="L37" s="311">
        <v>8328.31</v>
      </c>
      <c r="M37" s="302">
        <f t="shared" si="0"/>
        <v>0.022114522874388684</v>
      </c>
      <c r="N37" s="36">
        <v>292.338</v>
      </c>
      <c r="O37" s="303">
        <f t="shared" si="1"/>
        <v>6.46491538805304</v>
      </c>
      <c r="P37" s="303">
        <f t="shared" si="2"/>
        <v>1326.871372463321</v>
      </c>
      <c r="Q37" s="304">
        <f t="shared" si="3"/>
        <v>387.8949232831824</v>
      </c>
      <c r="R37" s="88"/>
      <c r="S37" s="88"/>
      <c r="T37" s="88"/>
      <c r="U37" s="14"/>
      <c r="V37" s="12"/>
      <c r="W37" s="12"/>
    </row>
    <row r="38" spans="1:23" s="7" customFormat="1" ht="12.75" customHeight="1">
      <c r="A38" s="1016" t="s">
        <v>51</v>
      </c>
      <c r="B38" s="114">
        <v>1</v>
      </c>
      <c r="C38" s="47" t="s">
        <v>99</v>
      </c>
      <c r="D38" s="39">
        <v>108</v>
      </c>
      <c r="E38" s="39" t="s">
        <v>67</v>
      </c>
      <c r="F38" s="379">
        <v>87.013</v>
      </c>
      <c r="G38" s="379">
        <v>9.6284</v>
      </c>
      <c r="H38" s="379">
        <v>17.13</v>
      </c>
      <c r="I38" s="379">
        <v>60.2546</v>
      </c>
      <c r="J38" s="398">
        <v>2584.77</v>
      </c>
      <c r="K38" s="379">
        <v>60.2546</v>
      </c>
      <c r="L38" s="398">
        <v>2584.77</v>
      </c>
      <c r="M38" s="305">
        <f t="shared" si="0"/>
        <v>0.02331139714558742</v>
      </c>
      <c r="N38" s="39">
        <v>292.338</v>
      </c>
      <c r="O38" s="337">
        <f t="shared" si="1"/>
        <v>6.814807218746736</v>
      </c>
      <c r="P38" s="337">
        <f t="shared" si="2"/>
        <v>1398.6838287352452</v>
      </c>
      <c r="Q38" s="268">
        <f t="shared" si="3"/>
        <v>408.8884331248042</v>
      </c>
      <c r="R38" s="88"/>
      <c r="S38" s="88"/>
      <c r="T38" s="88"/>
      <c r="U38" s="14"/>
      <c r="V38" s="12"/>
      <c r="W38" s="12"/>
    </row>
    <row r="39" spans="1:24" s="7" customFormat="1" ht="12.75">
      <c r="A39" s="1017"/>
      <c r="B39" s="41">
        <v>2</v>
      </c>
      <c r="C39" s="48" t="s">
        <v>93</v>
      </c>
      <c r="D39" s="41">
        <v>13</v>
      </c>
      <c r="E39" s="41">
        <v>1961</v>
      </c>
      <c r="F39" s="201">
        <v>18.0074</v>
      </c>
      <c r="G39" s="201">
        <v>3.357799</v>
      </c>
      <c r="H39" s="201">
        <v>0.13</v>
      </c>
      <c r="I39" s="201">
        <v>14.519601</v>
      </c>
      <c r="J39" s="376">
        <v>591.36</v>
      </c>
      <c r="K39" s="201">
        <v>12.188549</v>
      </c>
      <c r="L39" s="376">
        <v>496.42</v>
      </c>
      <c r="M39" s="286">
        <f t="shared" si="0"/>
        <v>0.024552896740663147</v>
      </c>
      <c r="N39" s="41">
        <v>292.338</v>
      </c>
      <c r="O39" s="178">
        <f t="shared" si="1"/>
        <v>7.177744727371984</v>
      </c>
      <c r="P39" s="178">
        <f t="shared" si="2"/>
        <v>1473.173804439789</v>
      </c>
      <c r="Q39" s="265">
        <f t="shared" si="3"/>
        <v>430.664683642319</v>
      </c>
      <c r="R39" s="88"/>
      <c r="S39" s="88"/>
      <c r="T39" s="88"/>
      <c r="U39" s="14"/>
      <c r="V39" s="12"/>
      <c r="W39" s="12"/>
      <c r="X39" s="1"/>
    </row>
    <row r="40" spans="1:23" ht="12.75">
      <c r="A40" s="1017"/>
      <c r="B40" s="115">
        <v>3</v>
      </c>
      <c r="C40" s="48" t="s">
        <v>95</v>
      </c>
      <c r="D40" s="41">
        <v>40</v>
      </c>
      <c r="E40" s="41">
        <v>1960</v>
      </c>
      <c r="F40" s="201">
        <v>42.593</v>
      </c>
      <c r="G40" s="201">
        <v>3.582335</v>
      </c>
      <c r="H40" s="201">
        <v>0.4</v>
      </c>
      <c r="I40" s="201">
        <v>38.610665</v>
      </c>
      <c r="J40" s="376">
        <v>1514.97</v>
      </c>
      <c r="K40" s="201">
        <v>37.28182</v>
      </c>
      <c r="L40" s="376">
        <v>1462.83</v>
      </c>
      <c r="M40" s="286">
        <f t="shared" si="0"/>
        <v>0.025486092027098162</v>
      </c>
      <c r="N40" s="41">
        <v>292.338</v>
      </c>
      <c r="O40" s="178">
        <f t="shared" si="1"/>
        <v>7.450553171017823</v>
      </c>
      <c r="P40" s="178">
        <f t="shared" si="2"/>
        <v>1529.1655216258896</v>
      </c>
      <c r="Q40" s="265">
        <f t="shared" si="3"/>
        <v>447.0331902610694</v>
      </c>
      <c r="R40" s="88"/>
      <c r="S40" s="88"/>
      <c r="T40" s="88"/>
      <c r="U40" s="14"/>
      <c r="V40" s="12"/>
      <c r="W40" s="12"/>
    </row>
    <row r="41" spans="1:23" ht="12.75">
      <c r="A41" s="1017"/>
      <c r="B41" s="115">
        <v>4</v>
      </c>
      <c r="C41" s="48" t="s">
        <v>97</v>
      </c>
      <c r="D41" s="41">
        <v>24</v>
      </c>
      <c r="E41" s="41">
        <v>1961</v>
      </c>
      <c r="F41" s="201">
        <v>26.735</v>
      </c>
      <c r="G41" s="201">
        <v>2.648155</v>
      </c>
      <c r="H41" s="201">
        <v>0</v>
      </c>
      <c r="I41" s="201">
        <v>24.086845</v>
      </c>
      <c r="J41" s="376">
        <v>911.79</v>
      </c>
      <c r="K41" s="201">
        <v>24.086845</v>
      </c>
      <c r="L41" s="376">
        <v>911.79</v>
      </c>
      <c r="M41" s="286">
        <f t="shared" si="0"/>
        <v>0.02641709713859551</v>
      </c>
      <c r="N41" s="41">
        <v>292.338</v>
      </c>
      <c r="O41" s="178">
        <f t="shared" si="1"/>
        <v>7.722721343302735</v>
      </c>
      <c r="P41" s="178">
        <f t="shared" si="2"/>
        <v>1585.0258283157307</v>
      </c>
      <c r="Q41" s="265">
        <f t="shared" si="3"/>
        <v>463.36328059816407</v>
      </c>
      <c r="R41" s="88"/>
      <c r="S41" s="88"/>
      <c r="T41" s="88"/>
      <c r="U41" s="14"/>
      <c r="V41" s="12"/>
      <c r="W41" s="12"/>
    </row>
    <row r="42" spans="1:23" ht="12.75">
      <c r="A42" s="1017"/>
      <c r="B42" s="115">
        <v>5</v>
      </c>
      <c r="C42" s="245" t="s">
        <v>96</v>
      </c>
      <c r="D42" s="129">
        <v>35</v>
      </c>
      <c r="E42" s="129">
        <v>1965</v>
      </c>
      <c r="F42" s="201">
        <v>27.272</v>
      </c>
      <c r="G42" s="201">
        <v>7.622951</v>
      </c>
      <c r="H42" s="201">
        <v>0.826</v>
      </c>
      <c r="I42" s="201">
        <v>18.823049</v>
      </c>
      <c r="J42" s="376">
        <v>687.58</v>
      </c>
      <c r="K42" s="201">
        <v>18.823049</v>
      </c>
      <c r="L42" s="376">
        <v>687.58</v>
      </c>
      <c r="M42" s="286">
        <f t="shared" si="0"/>
        <v>0.02737579481660316</v>
      </c>
      <c r="N42" s="41">
        <v>292.338</v>
      </c>
      <c r="O42" s="178">
        <f t="shared" si="1"/>
        <v>8.002985105096135</v>
      </c>
      <c r="P42" s="178">
        <f t="shared" si="2"/>
        <v>1642.5476889961894</v>
      </c>
      <c r="Q42" s="265">
        <f t="shared" si="3"/>
        <v>480.17910630576813</v>
      </c>
      <c r="R42" s="88"/>
      <c r="S42" s="88"/>
      <c r="T42" s="88"/>
      <c r="U42" s="14"/>
      <c r="V42" s="12"/>
      <c r="W42" s="12"/>
    </row>
    <row r="43" spans="1:23" ht="12.75">
      <c r="A43" s="1017"/>
      <c r="B43" s="41">
        <v>6</v>
      </c>
      <c r="C43" s="48" t="s">
        <v>98</v>
      </c>
      <c r="D43" s="41">
        <v>108</v>
      </c>
      <c r="E43" s="41">
        <v>1971</v>
      </c>
      <c r="F43" s="201">
        <v>101.9</v>
      </c>
      <c r="G43" s="201">
        <v>8.179763</v>
      </c>
      <c r="H43" s="201">
        <v>17.28</v>
      </c>
      <c r="I43" s="201">
        <v>76.440237</v>
      </c>
      <c r="J43" s="376">
        <v>2657.8</v>
      </c>
      <c r="K43" s="201">
        <v>74.64557</v>
      </c>
      <c r="L43" s="376">
        <v>2595.4</v>
      </c>
      <c r="M43" s="286">
        <f t="shared" si="0"/>
        <v>0.028760718964321492</v>
      </c>
      <c r="N43" s="41">
        <v>292.338</v>
      </c>
      <c r="O43" s="178">
        <f t="shared" si="1"/>
        <v>8.407851060591817</v>
      </c>
      <c r="P43" s="178">
        <f t="shared" si="2"/>
        <v>1725.6431378592895</v>
      </c>
      <c r="Q43" s="265">
        <f t="shared" si="3"/>
        <v>504.47106363550904</v>
      </c>
      <c r="R43" s="88"/>
      <c r="S43" s="88"/>
      <c r="T43" s="88"/>
      <c r="U43" s="14"/>
      <c r="V43" s="12"/>
      <c r="W43" s="12"/>
    </row>
    <row r="44" spans="1:24" ht="12.75">
      <c r="A44" s="1017"/>
      <c r="B44" s="115">
        <v>7</v>
      </c>
      <c r="C44" s="48" t="s">
        <v>92</v>
      </c>
      <c r="D44" s="41">
        <v>11</v>
      </c>
      <c r="E44" s="41">
        <v>1910</v>
      </c>
      <c r="F44" s="201">
        <v>16.4296</v>
      </c>
      <c r="G44" s="201">
        <v>0.634675</v>
      </c>
      <c r="H44" s="201">
        <v>0</v>
      </c>
      <c r="I44" s="201">
        <v>15.794925</v>
      </c>
      <c r="J44" s="376">
        <v>542.57</v>
      </c>
      <c r="K44" s="201">
        <v>13.119304</v>
      </c>
      <c r="L44" s="376">
        <v>450.66</v>
      </c>
      <c r="M44" s="286">
        <f t="shared" si="0"/>
        <v>0.02911131229751919</v>
      </c>
      <c r="N44" s="41">
        <v>292.338</v>
      </c>
      <c r="O44" s="178">
        <f t="shared" si="1"/>
        <v>8.510342814432166</v>
      </c>
      <c r="P44" s="178">
        <f t="shared" si="2"/>
        <v>1746.6787378511515</v>
      </c>
      <c r="Q44" s="265">
        <f t="shared" si="3"/>
        <v>510.62056886592995</v>
      </c>
      <c r="R44" s="88"/>
      <c r="S44" s="88"/>
      <c r="T44" s="88"/>
      <c r="U44" s="14"/>
      <c r="V44" s="12"/>
      <c r="W44" s="12"/>
      <c r="X44" s="7"/>
    </row>
    <row r="45" spans="1:23" ht="12.75">
      <c r="A45" s="1017"/>
      <c r="B45" s="115">
        <v>8</v>
      </c>
      <c r="C45" s="48" t="s">
        <v>94</v>
      </c>
      <c r="D45" s="41">
        <v>6</v>
      </c>
      <c r="E45" s="41">
        <v>1958</v>
      </c>
      <c r="F45" s="201">
        <v>10.177</v>
      </c>
      <c r="G45" s="201">
        <v>0.58905</v>
      </c>
      <c r="H45" s="201">
        <v>0.06</v>
      </c>
      <c r="I45" s="201">
        <v>9.52795</v>
      </c>
      <c r="J45" s="376">
        <v>310.34</v>
      </c>
      <c r="K45" s="201">
        <v>9.52795</v>
      </c>
      <c r="L45" s="376">
        <v>310.34</v>
      </c>
      <c r="M45" s="286">
        <f t="shared" si="0"/>
        <v>0.03070164980344139</v>
      </c>
      <c r="N45" s="41">
        <v>292.338</v>
      </c>
      <c r="O45" s="178">
        <f t="shared" si="1"/>
        <v>8.97525890023845</v>
      </c>
      <c r="P45" s="178">
        <f t="shared" si="2"/>
        <v>1842.0989882064835</v>
      </c>
      <c r="Q45" s="265">
        <f t="shared" si="3"/>
        <v>538.5155340143069</v>
      </c>
      <c r="R45" s="88"/>
      <c r="S45" s="88"/>
      <c r="T45" s="88"/>
      <c r="U45" s="14"/>
      <c r="V45" s="12"/>
      <c r="W45" s="12"/>
    </row>
    <row r="46" spans="1:23" s="7" customFormat="1" ht="12.75">
      <c r="A46" s="1017"/>
      <c r="B46" s="115">
        <v>9</v>
      </c>
      <c r="C46" s="48" t="s">
        <v>100</v>
      </c>
      <c r="D46" s="41">
        <v>7</v>
      </c>
      <c r="E46" s="41" t="s">
        <v>67</v>
      </c>
      <c r="F46" s="201">
        <v>12.969</v>
      </c>
      <c r="G46" s="201">
        <v>0.906709</v>
      </c>
      <c r="H46" s="201">
        <v>0</v>
      </c>
      <c r="I46" s="201">
        <v>12.062291</v>
      </c>
      <c r="J46" s="376">
        <v>355.81</v>
      </c>
      <c r="K46" s="201">
        <v>10.812703</v>
      </c>
      <c r="L46" s="376">
        <v>318.95</v>
      </c>
      <c r="M46" s="286">
        <f t="shared" si="0"/>
        <v>0.03390093431572347</v>
      </c>
      <c r="N46" s="41">
        <v>292.338</v>
      </c>
      <c r="O46" s="178">
        <f t="shared" si="1"/>
        <v>9.910531335989969</v>
      </c>
      <c r="P46" s="178">
        <f t="shared" si="2"/>
        <v>2034.056058943408</v>
      </c>
      <c r="Q46" s="265">
        <f t="shared" si="3"/>
        <v>594.6318801593982</v>
      </c>
      <c r="R46" s="88"/>
      <c r="S46" s="88"/>
      <c r="T46" s="88"/>
      <c r="U46" s="14"/>
      <c r="V46" s="12"/>
      <c r="W46" s="12"/>
    </row>
    <row r="47" spans="1:23" ht="12.75">
      <c r="A47" s="1017"/>
      <c r="B47" s="41">
        <v>10</v>
      </c>
      <c r="C47" s="48" t="s">
        <v>102</v>
      </c>
      <c r="D47" s="41">
        <v>4</v>
      </c>
      <c r="E47" s="41">
        <v>1963</v>
      </c>
      <c r="F47" s="201">
        <v>5.781</v>
      </c>
      <c r="G47" s="201">
        <v>0.3213</v>
      </c>
      <c r="H47" s="201">
        <v>0.04</v>
      </c>
      <c r="I47" s="201">
        <v>5.4197</v>
      </c>
      <c r="J47" s="376">
        <v>150.99</v>
      </c>
      <c r="K47" s="201">
        <v>5.4197</v>
      </c>
      <c r="L47" s="376">
        <v>150.99</v>
      </c>
      <c r="M47" s="286">
        <f t="shared" si="0"/>
        <v>0.03589443009470825</v>
      </c>
      <c r="N47" s="41">
        <v>292.338</v>
      </c>
      <c r="O47" s="178">
        <f t="shared" si="1"/>
        <v>10.493305905026823</v>
      </c>
      <c r="P47" s="178">
        <f t="shared" si="2"/>
        <v>2153.665805682495</v>
      </c>
      <c r="Q47" s="265">
        <f t="shared" si="3"/>
        <v>629.5983543016093</v>
      </c>
      <c r="R47" s="88"/>
      <c r="S47" s="88"/>
      <c r="T47" s="88"/>
      <c r="U47" s="14"/>
      <c r="V47" s="12"/>
      <c r="W47" s="12"/>
    </row>
    <row r="48" spans="1:20" ht="13.5" customHeight="1" thickBot="1">
      <c r="A48" s="1018"/>
      <c r="B48" s="45">
        <v>11</v>
      </c>
      <c r="C48" s="51" t="s">
        <v>101</v>
      </c>
      <c r="D48" s="45">
        <v>4</v>
      </c>
      <c r="E48" s="45">
        <v>1963</v>
      </c>
      <c r="F48" s="380">
        <v>7.016</v>
      </c>
      <c r="G48" s="380">
        <v>0.5355</v>
      </c>
      <c r="H48" s="380">
        <v>0</v>
      </c>
      <c r="I48" s="380">
        <v>6.4805</v>
      </c>
      <c r="J48" s="384">
        <v>146.98</v>
      </c>
      <c r="K48" s="380">
        <v>6.4805</v>
      </c>
      <c r="L48" s="384">
        <v>146.98</v>
      </c>
      <c r="M48" s="306">
        <f t="shared" si="0"/>
        <v>0.04409103279357736</v>
      </c>
      <c r="N48" s="45">
        <v>292.338</v>
      </c>
      <c r="O48" s="307">
        <f t="shared" si="1"/>
        <v>12.88948434480882</v>
      </c>
      <c r="P48" s="307">
        <f t="shared" si="2"/>
        <v>2645.4619676146413</v>
      </c>
      <c r="Q48" s="269">
        <f t="shared" si="3"/>
        <v>773.3690606885292</v>
      </c>
      <c r="S48" s="88"/>
      <c r="T48" s="88"/>
    </row>
    <row r="49" spans="1:20" ht="15">
      <c r="A49" s="1015" t="s">
        <v>35</v>
      </c>
      <c r="B49" s="1015"/>
      <c r="C49" s="1015"/>
      <c r="D49" s="1015"/>
      <c r="E49" s="1015"/>
      <c r="F49" s="1015"/>
      <c r="G49" s="1015"/>
      <c r="H49" s="1015"/>
      <c r="I49" s="1015"/>
      <c r="J49" s="1015"/>
      <c r="K49" s="1015"/>
      <c r="L49" s="1015"/>
      <c r="M49" s="1015"/>
      <c r="N49" s="1015"/>
      <c r="O49" s="1015"/>
      <c r="P49" s="1015"/>
      <c r="Q49" s="1015"/>
      <c r="S49" s="88"/>
      <c r="T49" s="88"/>
    </row>
    <row r="50" spans="1:20" ht="13.5" thickBot="1">
      <c r="A50" s="968" t="s">
        <v>513</v>
      </c>
      <c r="B50" s="968"/>
      <c r="C50" s="968"/>
      <c r="D50" s="968"/>
      <c r="E50" s="968"/>
      <c r="F50" s="968"/>
      <c r="G50" s="968"/>
      <c r="H50" s="968"/>
      <c r="I50" s="968"/>
      <c r="J50" s="968"/>
      <c r="K50" s="968"/>
      <c r="L50" s="968"/>
      <c r="M50" s="968"/>
      <c r="N50" s="968"/>
      <c r="O50" s="968"/>
      <c r="P50" s="968"/>
      <c r="Q50" s="968"/>
      <c r="S50" s="88"/>
      <c r="T50" s="88"/>
    </row>
    <row r="51" spans="1:20" ht="12.75" customHeight="1">
      <c r="A51" s="952" t="s">
        <v>1</v>
      </c>
      <c r="B51" s="955" t="s">
        <v>0</v>
      </c>
      <c r="C51" s="944" t="s">
        <v>2</v>
      </c>
      <c r="D51" s="944" t="s">
        <v>3</v>
      </c>
      <c r="E51" s="944" t="s">
        <v>13</v>
      </c>
      <c r="F51" s="960" t="s">
        <v>14</v>
      </c>
      <c r="G51" s="961"/>
      <c r="H51" s="961"/>
      <c r="I51" s="962"/>
      <c r="J51" s="944" t="s">
        <v>4</v>
      </c>
      <c r="K51" s="944" t="s">
        <v>15</v>
      </c>
      <c r="L51" s="944" t="s">
        <v>5</v>
      </c>
      <c r="M51" s="944" t="s">
        <v>6</v>
      </c>
      <c r="N51" s="944" t="s">
        <v>16</v>
      </c>
      <c r="O51" s="944" t="s">
        <v>17</v>
      </c>
      <c r="P51" s="944" t="s">
        <v>25</v>
      </c>
      <c r="Q51" s="1049" t="s">
        <v>26</v>
      </c>
      <c r="S51" s="88"/>
      <c r="T51" s="88"/>
    </row>
    <row r="52" spans="1:20" ht="55.5" customHeight="1">
      <c r="A52" s="1057"/>
      <c r="B52" s="988"/>
      <c r="C52" s="945"/>
      <c r="D52" s="945"/>
      <c r="E52" s="945"/>
      <c r="F52" s="139" t="s">
        <v>18</v>
      </c>
      <c r="G52" s="140" t="s">
        <v>19</v>
      </c>
      <c r="H52" s="140" t="s">
        <v>32</v>
      </c>
      <c r="I52" s="139" t="s">
        <v>21</v>
      </c>
      <c r="J52" s="945"/>
      <c r="K52" s="945"/>
      <c r="L52" s="945"/>
      <c r="M52" s="945"/>
      <c r="N52" s="945"/>
      <c r="O52" s="945"/>
      <c r="P52" s="945"/>
      <c r="Q52" s="1050"/>
      <c r="S52" s="88"/>
      <c r="T52" s="88"/>
    </row>
    <row r="53" spans="1:20" ht="13.5" customHeight="1" thickBot="1">
      <c r="A53" s="229"/>
      <c r="B53" s="230"/>
      <c r="C53" s="231"/>
      <c r="D53" s="58" t="s">
        <v>7</v>
      </c>
      <c r="E53" s="226" t="s">
        <v>8</v>
      </c>
      <c r="F53" s="226" t="s">
        <v>9</v>
      </c>
      <c r="G53" s="226" t="s">
        <v>9</v>
      </c>
      <c r="H53" s="226" t="s">
        <v>9</v>
      </c>
      <c r="I53" s="226" t="s">
        <v>9</v>
      </c>
      <c r="J53" s="226" t="s">
        <v>22</v>
      </c>
      <c r="K53" s="226" t="s">
        <v>9</v>
      </c>
      <c r="L53" s="226" t="s">
        <v>22</v>
      </c>
      <c r="M53" s="226" t="s">
        <v>134</v>
      </c>
      <c r="N53" s="227" t="s">
        <v>10</v>
      </c>
      <c r="O53" s="226" t="s">
        <v>135</v>
      </c>
      <c r="P53" s="227" t="s">
        <v>27</v>
      </c>
      <c r="Q53" s="228" t="s">
        <v>28</v>
      </c>
      <c r="S53" s="88"/>
      <c r="T53" s="88"/>
    </row>
    <row r="54" spans="1:20" ht="12.75">
      <c r="A54" s="916" t="s">
        <v>50</v>
      </c>
      <c r="B54" s="29">
        <v>1</v>
      </c>
      <c r="C54" s="690" t="s">
        <v>103</v>
      </c>
      <c r="D54" s="61">
        <v>86</v>
      </c>
      <c r="E54" s="61">
        <v>2006</v>
      </c>
      <c r="F54" s="199">
        <v>52.56</v>
      </c>
      <c r="G54" s="199">
        <v>14.1</v>
      </c>
      <c r="H54" s="199">
        <v>2.73</v>
      </c>
      <c r="I54" s="199">
        <f aca="true" t="shared" si="4" ref="I54:I60">F54-G54-H54</f>
        <v>35.730000000000004</v>
      </c>
      <c r="J54" s="458">
        <v>5062</v>
      </c>
      <c r="K54" s="199">
        <f aca="true" t="shared" si="5" ref="K54:K93">I54/J54*L54</f>
        <v>35.730000000000004</v>
      </c>
      <c r="L54" s="61">
        <v>5062</v>
      </c>
      <c r="M54" s="328">
        <f aca="true" t="shared" si="6" ref="M54:M93">K54/L54</f>
        <v>0.007058474911102332</v>
      </c>
      <c r="N54" s="198">
        <f aca="true" t="shared" si="7" ref="N54:N93">288.7*1.09</f>
        <v>314.683</v>
      </c>
      <c r="O54" s="198">
        <f aca="true" t="shared" si="8" ref="O54:O93">M54*N54</f>
        <v>2.221182060450415</v>
      </c>
      <c r="P54" s="198">
        <f aca="true" t="shared" si="9" ref="P54:P93">M54*60*1000</f>
        <v>423.50849466613994</v>
      </c>
      <c r="Q54" s="189">
        <f aca="true" t="shared" si="10" ref="Q54:Q93">P54*N54/1000</f>
        <v>133.27092362702493</v>
      </c>
      <c r="S54" s="88"/>
      <c r="T54" s="88"/>
    </row>
    <row r="55" spans="1:20" ht="12.75">
      <c r="A55" s="916"/>
      <c r="B55" s="30">
        <v>2</v>
      </c>
      <c r="C55" s="93" t="s">
        <v>105</v>
      </c>
      <c r="D55" s="30">
        <v>60</v>
      </c>
      <c r="E55" s="30">
        <v>2005</v>
      </c>
      <c r="F55" s="130">
        <v>60.31</v>
      </c>
      <c r="G55" s="130">
        <v>14.66</v>
      </c>
      <c r="H55" s="130">
        <v>2.12</v>
      </c>
      <c r="I55" s="130">
        <f t="shared" si="4"/>
        <v>43.53000000000001</v>
      </c>
      <c r="J55" s="187">
        <v>4933.5</v>
      </c>
      <c r="K55" s="130">
        <f t="shared" si="5"/>
        <v>42.23737914259654</v>
      </c>
      <c r="L55" s="30">
        <v>4787</v>
      </c>
      <c r="M55" s="295">
        <f t="shared" si="6"/>
        <v>0.008823350562480998</v>
      </c>
      <c r="N55" s="126">
        <f t="shared" si="7"/>
        <v>314.683</v>
      </c>
      <c r="O55" s="126">
        <f t="shared" si="8"/>
        <v>2.776558425053208</v>
      </c>
      <c r="P55" s="126">
        <f t="shared" si="9"/>
        <v>529.40103374886</v>
      </c>
      <c r="Q55" s="296">
        <f t="shared" si="10"/>
        <v>166.5935055031925</v>
      </c>
      <c r="S55" s="88"/>
      <c r="T55" s="88"/>
    </row>
    <row r="56" spans="1:20" ht="12.75">
      <c r="A56" s="916"/>
      <c r="B56" s="30">
        <v>3</v>
      </c>
      <c r="C56" s="93" t="s">
        <v>109</v>
      </c>
      <c r="D56" s="30">
        <v>18</v>
      </c>
      <c r="E56" s="30">
        <v>2006</v>
      </c>
      <c r="F56" s="130">
        <v>23.6</v>
      </c>
      <c r="G56" s="130">
        <v>1.93</v>
      </c>
      <c r="H56" s="130">
        <v>1.68</v>
      </c>
      <c r="I56" s="130">
        <f t="shared" si="4"/>
        <v>19.990000000000002</v>
      </c>
      <c r="J56" s="187">
        <v>1988.3</v>
      </c>
      <c r="K56" s="130">
        <f t="shared" si="5"/>
        <v>15.221475632449835</v>
      </c>
      <c r="L56" s="30">
        <v>1514</v>
      </c>
      <c r="M56" s="295">
        <f t="shared" si="6"/>
        <v>0.010053814816677565</v>
      </c>
      <c r="N56" s="126">
        <f t="shared" si="7"/>
        <v>314.683</v>
      </c>
      <c r="O56" s="126">
        <f t="shared" si="8"/>
        <v>3.163764607956546</v>
      </c>
      <c r="P56" s="126">
        <f t="shared" si="9"/>
        <v>603.228889000654</v>
      </c>
      <c r="Q56" s="296">
        <f t="shared" si="10"/>
        <v>189.8258764773928</v>
      </c>
      <c r="S56" s="88"/>
      <c r="T56" s="88"/>
    </row>
    <row r="57" spans="1:20" ht="12.75">
      <c r="A57" s="916"/>
      <c r="B57" s="30">
        <v>4</v>
      </c>
      <c r="C57" s="93" t="s">
        <v>107</v>
      </c>
      <c r="D57" s="30">
        <v>118</v>
      </c>
      <c r="E57" s="30">
        <v>2007</v>
      </c>
      <c r="F57" s="130">
        <v>119.28</v>
      </c>
      <c r="G57" s="130">
        <v>20.3</v>
      </c>
      <c r="H57" s="130">
        <v>20.48</v>
      </c>
      <c r="I57" s="130">
        <f t="shared" si="4"/>
        <v>78.5</v>
      </c>
      <c r="J57" s="187">
        <v>7745</v>
      </c>
      <c r="K57" s="130">
        <f t="shared" si="5"/>
        <v>70.88818592640413</v>
      </c>
      <c r="L57" s="30">
        <v>6994</v>
      </c>
      <c r="M57" s="295">
        <f t="shared" si="6"/>
        <v>0.01013557133634603</v>
      </c>
      <c r="N57" s="126">
        <f t="shared" si="7"/>
        <v>314.683</v>
      </c>
      <c r="O57" s="126">
        <f t="shared" si="8"/>
        <v>3.189491994835378</v>
      </c>
      <c r="P57" s="126">
        <f t="shared" si="9"/>
        <v>608.1342801807618</v>
      </c>
      <c r="Q57" s="296">
        <f t="shared" si="10"/>
        <v>191.36951969012267</v>
      </c>
      <c r="S57" s="88"/>
      <c r="T57" s="88"/>
    </row>
    <row r="58" spans="1:20" ht="12.75">
      <c r="A58" s="916"/>
      <c r="B58" s="30">
        <v>5</v>
      </c>
      <c r="C58" s="93" t="s">
        <v>104</v>
      </c>
      <c r="D58" s="30">
        <v>51</v>
      </c>
      <c r="E58" s="30">
        <v>2005</v>
      </c>
      <c r="F58" s="130">
        <v>42.76</v>
      </c>
      <c r="G58" s="130">
        <v>6.73</v>
      </c>
      <c r="H58" s="130">
        <v>3.3</v>
      </c>
      <c r="I58" s="130">
        <f t="shared" si="4"/>
        <v>32.730000000000004</v>
      </c>
      <c r="J58" s="187">
        <v>3073.9</v>
      </c>
      <c r="K58" s="130">
        <f t="shared" si="5"/>
        <v>31.96442955203488</v>
      </c>
      <c r="L58" s="30">
        <v>3002</v>
      </c>
      <c r="M58" s="295">
        <f t="shared" si="6"/>
        <v>0.010647711376427341</v>
      </c>
      <c r="N58" s="126">
        <f t="shared" si="7"/>
        <v>314.683</v>
      </c>
      <c r="O58" s="126">
        <f t="shared" si="8"/>
        <v>3.350653759068285</v>
      </c>
      <c r="P58" s="126">
        <f t="shared" si="9"/>
        <v>638.8626825856405</v>
      </c>
      <c r="Q58" s="296">
        <f t="shared" si="10"/>
        <v>201.0392255440971</v>
      </c>
      <c r="S58" s="88"/>
      <c r="T58" s="88"/>
    </row>
    <row r="59" spans="1:20" s="92" customFormat="1" ht="12.75" customHeight="1">
      <c r="A59" s="916"/>
      <c r="B59" s="91">
        <v>6</v>
      </c>
      <c r="C59" s="93" t="s">
        <v>106</v>
      </c>
      <c r="D59" s="30">
        <v>38</v>
      </c>
      <c r="E59" s="30">
        <v>2004</v>
      </c>
      <c r="F59" s="130">
        <v>31.58</v>
      </c>
      <c r="G59" s="130">
        <v>5.69</v>
      </c>
      <c r="H59" s="130"/>
      <c r="I59" s="130">
        <f t="shared" si="4"/>
        <v>25.889999999999997</v>
      </c>
      <c r="J59" s="187">
        <v>2372</v>
      </c>
      <c r="K59" s="130">
        <f t="shared" si="5"/>
        <v>25.649873524451937</v>
      </c>
      <c r="L59" s="30">
        <v>2350</v>
      </c>
      <c r="M59" s="295">
        <f t="shared" si="6"/>
        <v>0.010914839797639122</v>
      </c>
      <c r="N59" s="126">
        <f t="shared" si="7"/>
        <v>314.683</v>
      </c>
      <c r="O59" s="126">
        <f t="shared" si="8"/>
        <v>3.4347145320404717</v>
      </c>
      <c r="P59" s="126">
        <f t="shared" si="9"/>
        <v>654.8903878583473</v>
      </c>
      <c r="Q59" s="296">
        <f t="shared" si="10"/>
        <v>206.0828719224283</v>
      </c>
      <c r="S59" s="88"/>
      <c r="T59" s="88"/>
    </row>
    <row r="60" spans="1:20" ht="12.75">
      <c r="A60" s="916"/>
      <c r="B60" s="30">
        <v>7</v>
      </c>
      <c r="C60" s="93" t="s">
        <v>138</v>
      </c>
      <c r="D60" s="30">
        <v>100</v>
      </c>
      <c r="E60" s="30">
        <v>1972</v>
      </c>
      <c r="F60" s="130">
        <v>79.11</v>
      </c>
      <c r="G60" s="130">
        <v>14.08</v>
      </c>
      <c r="H60" s="130">
        <v>16</v>
      </c>
      <c r="I60" s="130">
        <f t="shared" si="4"/>
        <v>49.03</v>
      </c>
      <c r="J60" s="187">
        <v>4426.6</v>
      </c>
      <c r="K60" s="130">
        <f t="shared" si="5"/>
        <v>49.03443048841097</v>
      </c>
      <c r="L60" s="30">
        <v>4427</v>
      </c>
      <c r="M60" s="295">
        <f t="shared" si="6"/>
        <v>0.011076221027425111</v>
      </c>
      <c r="N60" s="126">
        <f t="shared" si="7"/>
        <v>314.683</v>
      </c>
      <c r="O60" s="126">
        <f t="shared" si="8"/>
        <v>3.4854984615732163</v>
      </c>
      <c r="P60" s="126">
        <f t="shared" si="9"/>
        <v>664.5732616455067</v>
      </c>
      <c r="Q60" s="296">
        <f t="shared" si="10"/>
        <v>209.12990769439298</v>
      </c>
      <c r="S60" s="88"/>
      <c r="T60" s="88"/>
    </row>
    <row r="61" spans="1:20" ht="12.75">
      <c r="A61" s="916"/>
      <c r="B61" s="30">
        <v>8</v>
      </c>
      <c r="C61" s="93" t="s">
        <v>139</v>
      </c>
      <c r="D61" s="30">
        <v>61</v>
      </c>
      <c r="E61" s="30">
        <v>1973</v>
      </c>
      <c r="F61" s="130">
        <v>42.91</v>
      </c>
      <c r="G61" s="130">
        <v>7.91</v>
      </c>
      <c r="H61" s="130">
        <v>4.99</v>
      </c>
      <c r="I61" s="130">
        <v>30.01</v>
      </c>
      <c r="J61" s="187">
        <v>2678.3</v>
      </c>
      <c r="K61" s="130">
        <f t="shared" si="5"/>
        <v>30.006638539371988</v>
      </c>
      <c r="L61" s="30">
        <v>2678</v>
      </c>
      <c r="M61" s="295">
        <f t="shared" si="6"/>
        <v>0.01120486876003435</v>
      </c>
      <c r="N61" s="126">
        <f t="shared" si="7"/>
        <v>314.683</v>
      </c>
      <c r="O61" s="126">
        <f t="shared" si="8"/>
        <v>3.5259817160138893</v>
      </c>
      <c r="P61" s="126">
        <f t="shared" si="9"/>
        <v>672.292125602061</v>
      </c>
      <c r="Q61" s="296">
        <f t="shared" si="10"/>
        <v>211.55890296083336</v>
      </c>
      <c r="S61" s="88"/>
      <c r="T61" s="88"/>
    </row>
    <row r="62" spans="1:20" ht="12.75">
      <c r="A62" s="916"/>
      <c r="B62" s="90">
        <v>9</v>
      </c>
      <c r="C62" s="93" t="s">
        <v>137</v>
      </c>
      <c r="D62" s="30">
        <v>72</v>
      </c>
      <c r="E62" s="30">
        <v>2005</v>
      </c>
      <c r="F62" s="130">
        <v>80.03</v>
      </c>
      <c r="G62" s="130">
        <v>13.99</v>
      </c>
      <c r="H62" s="130">
        <v>5.84</v>
      </c>
      <c r="I62" s="130">
        <f>F62-G62-H62</f>
        <v>60.2</v>
      </c>
      <c r="J62" s="187">
        <v>5350.7</v>
      </c>
      <c r="K62" s="130">
        <f t="shared" si="5"/>
        <v>60.20337525931187</v>
      </c>
      <c r="L62" s="30">
        <v>5351</v>
      </c>
      <c r="M62" s="295">
        <f t="shared" si="6"/>
        <v>0.011250864372885791</v>
      </c>
      <c r="N62" s="126">
        <f t="shared" si="7"/>
        <v>314.683</v>
      </c>
      <c r="O62" s="126">
        <f t="shared" si="8"/>
        <v>3.5404557534528194</v>
      </c>
      <c r="P62" s="126">
        <f t="shared" si="9"/>
        <v>675.0518623731474</v>
      </c>
      <c r="Q62" s="296">
        <f t="shared" si="10"/>
        <v>212.42734520716914</v>
      </c>
      <c r="S62" s="88"/>
      <c r="T62" s="88"/>
    </row>
    <row r="63" spans="1:20" ht="12.75" customHeight="1" thickBot="1">
      <c r="A63" s="917"/>
      <c r="B63" s="63">
        <v>10</v>
      </c>
      <c r="C63" s="691" t="s">
        <v>108</v>
      </c>
      <c r="D63" s="63">
        <v>39</v>
      </c>
      <c r="E63" s="63">
        <v>2007</v>
      </c>
      <c r="F63" s="235">
        <v>35.53</v>
      </c>
      <c r="G63" s="235">
        <v>6.89</v>
      </c>
      <c r="H63" s="235">
        <v>1.58</v>
      </c>
      <c r="I63" s="235">
        <f>F63-G63-H63</f>
        <v>27.060000000000002</v>
      </c>
      <c r="J63" s="364">
        <v>2368.8</v>
      </c>
      <c r="K63" s="235">
        <f t="shared" si="5"/>
        <v>27.062284701114486</v>
      </c>
      <c r="L63" s="63">
        <v>2369</v>
      </c>
      <c r="M63" s="297">
        <f t="shared" si="6"/>
        <v>0.011423505572441742</v>
      </c>
      <c r="N63" s="127">
        <f t="shared" si="7"/>
        <v>314.683</v>
      </c>
      <c r="O63" s="127">
        <f t="shared" si="8"/>
        <v>3.5947830040526845</v>
      </c>
      <c r="P63" s="127">
        <f t="shared" si="9"/>
        <v>685.4103343465046</v>
      </c>
      <c r="Q63" s="128">
        <f t="shared" si="10"/>
        <v>215.6869802431611</v>
      </c>
      <c r="S63" s="88"/>
      <c r="T63" s="88"/>
    </row>
    <row r="64" spans="1:20" ht="14.25" customHeight="1">
      <c r="A64" s="1045" t="s">
        <v>306</v>
      </c>
      <c r="B64" s="743">
        <v>1</v>
      </c>
      <c r="C64" s="898" t="s">
        <v>140</v>
      </c>
      <c r="D64" s="743">
        <v>60</v>
      </c>
      <c r="E64" s="743">
        <v>1968</v>
      </c>
      <c r="F64" s="768">
        <v>43.56</v>
      </c>
      <c r="G64" s="768">
        <v>7.99</v>
      </c>
      <c r="H64" s="768">
        <v>4.44</v>
      </c>
      <c r="I64" s="768">
        <v>31.13</v>
      </c>
      <c r="J64" s="769">
        <v>2715.4</v>
      </c>
      <c r="K64" s="768">
        <f t="shared" si="5"/>
        <v>31.125414303601676</v>
      </c>
      <c r="L64" s="743">
        <v>2715</v>
      </c>
      <c r="M64" s="770">
        <f t="shared" si="6"/>
        <v>0.011464240995801723</v>
      </c>
      <c r="N64" s="771">
        <f t="shared" si="7"/>
        <v>314.683</v>
      </c>
      <c r="O64" s="771">
        <f t="shared" si="8"/>
        <v>3.6076017492818733</v>
      </c>
      <c r="P64" s="771">
        <f t="shared" si="9"/>
        <v>687.8544597481033</v>
      </c>
      <c r="Q64" s="772">
        <f t="shared" si="10"/>
        <v>216.45610495691238</v>
      </c>
      <c r="S64" s="88"/>
      <c r="T64" s="88"/>
    </row>
    <row r="65" spans="1:20" ht="12.75">
      <c r="A65" s="1045"/>
      <c r="B65" s="725">
        <v>2</v>
      </c>
      <c r="C65" s="798" t="s">
        <v>144</v>
      </c>
      <c r="D65" s="725">
        <v>60</v>
      </c>
      <c r="E65" s="725">
        <v>1965</v>
      </c>
      <c r="F65" s="727">
        <v>47.72</v>
      </c>
      <c r="G65" s="727">
        <v>6.45</v>
      </c>
      <c r="H65" s="727">
        <v>9.52</v>
      </c>
      <c r="I65" s="727">
        <f>F65-G65-H65</f>
        <v>31.749999999999996</v>
      </c>
      <c r="J65" s="728">
        <v>2708.9</v>
      </c>
      <c r="K65" s="727">
        <f t="shared" si="5"/>
        <v>31.75117206246077</v>
      </c>
      <c r="L65" s="725">
        <v>2709</v>
      </c>
      <c r="M65" s="729">
        <f t="shared" si="6"/>
        <v>0.011720624607774371</v>
      </c>
      <c r="N65" s="730">
        <f t="shared" si="7"/>
        <v>314.683</v>
      </c>
      <c r="O65" s="730">
        <f t="shared" si="8"/>
        <v>3.6882813134482624</v>
      </c>
      <c r="P65" s="730">
        <f t="shared" si="9"/>
        <v>703.2374764664623</v>
      </c>
      <c r="Q65" s="731">
        <f t="shared" si="10"/>
        <v>221.29687880689576</v>
      </c>
      <c r="S65" s="88"/>
      <c r="T65" s="88"/>
    </row>
    <row r="66" spans="1:20" ht="12.75">
      <c r="A66" s="1045"/>
      <c r="B66" s="725">
        <v>3</v>
      </c>
      <c r="C66" s="798" t="s">
        <v>142</v>
      </c>
      <c r="D66" s="725">
        <v>61</v>
      </c>
      <c r="E66" s="725">
        <v>1975</v>
      </c>
      <c r="F66" s="727">
        <v>63.8</v>
      </c>
      <c r="G66" s="727">
        <v>8.24</v>
      </c>
      <c r="H66" s="727">
        <v>9.6</v>
      </c>
      <c r="I66" s="727">
        <f>F66-G66-H66</f>
        <v>45.959999999999994</v>
      </c>
      <c r="J66" s="728">
        <v>3636.9</v>
      </c>
      <c r="K66" s="727">
        <f t="shared" si="5"/>
        <v>45.961263713602236</v>
      </c>
      <c r="L66" s="725">
        <v>3637</v>
      </c>
      <c r="M66" s="729">
        <f t="shared" si="6"/>
        <v>0.012637136022436688</v>
      </c>
      <c r="N66" s="730">
        <f t="shared" si="7"/>
        <v>314.683</v>
      </c>
      <c r="O66" s="730">
        <f t="shared" si="8"/>
        <v>3.976691874948444</v>
      </c>
      <c r="P66" s="730">
        <f t="shared" si="9"/>
        <v>758.2281613462013</v>
      </c>
      <c r="Q66" s="731">
        <f t="shared" si="10"/>
        <v>238.60151249690665</v>
      </c>
      <c r="S66" s="88"/>
      <c r="T66" s="88"/>
    </row>
    <row r="67" spans="1:20" ht="12.75">
      <c r="A67" s="1045"/>
      <c r="B67" s="725">
        <v>4</v>
      </c>
      <c r="C67" s="798" t="s">
        <v>143</v>
      </c>
      <c r="D67" s="725">
        <v>54</v>
      </c>
      <c r="E67" s="725">
        <v>1980</v>
      </c>
      <c r="F67" s="727">
        <v>67.64</v>
      </c>
      <c r="G67" s="727">
        <v>6.95</v>
      </c>
      <c r="H67" s="727">
        <v>14.99</v>
      </c>
      <c r="I67" s="727">
        <v>45.7</v>
      </c>
      <c r="J67" s="728">
        <v>3508.9</v>
      </c>
      <c r="K67" s="727">
        <f t="shared" si="5"/>
        <v>45.70130240246231</v>
      </c>
      <c r="L67" s="725">
        <v>3509</v>
      </c>
      <c r="M67" s="729">
        <f t="shared" si="6"/>
        <v>0.013024024623101257</v>
      </c>
      <c r="N67" s="730">
        <f t="shared" si="7"/>
        <v>314.683</v>
      </c>
      <c r="O67" s="730">
        <f t="shared" si="8"/>
        <v>4.098439140471372</v>
      </c>
      <c r="P67" s="730">
        <f t="shared" si="9"/>
        <v>781.4414773860753</v>
      </c>
      <c r="Q67" s="731">
        <f t="shared" si="10"/>
        <v>245.90634842828234</v>
      </c>
      <c r="S67" s="88"/>
      <c r="T67" s="88"/>
    </row>
    <row r="68" spans="1:20" ht="12.75">
      <c r="A68" s="1045"/>
      <c r="B68" s="725">
        <v>5</v>
      </c>
      <c r="C68" s="798" t="s">
        <v>112</v>
      </c>
      <c r="D68" s="725">
        <v>22</v>
      </c>
      <c r="E68" s="725">
        <v>2006</v>
      </c>
      <c r="F68" s="727">
        <v>28.63</v>
      </c>
      <c r="G68" s="727">
        <v>4.12</v>
      </c>
      <c r="H68" s="727">
        <v>1.76</v>
      </c>
      <c r="I68" s="727">
        <f aca="true" t="shared" si="11" ref="I68:I92">F68-G68-H68</f>
        <v>22.749999999999996</v>
      </c>
      <c r="J68" s="728">
        <v>1698.2</v>
      </c>
      <c r="K68" s="727">
        <f t="shared" si="5"/>
        <v>22.747320692497933</v>
      </c>
      <c r="L68" s="725">
        <v>1698</v>
      </c>
      <c r="M68" s="729">
        <f t="shared" si="6"/>
        <v>0.013396537510305026</v>
      </c>
      <c r="N68" s="730">
        <f t="shared" si="7"/>
        <v>314.683</v>
      </c>
      <c r="O68" s="730">
        <f t="shared" si="8"/>
        <v>4.215662613355316</v>
      </c>
      <c r="P68" s="730">
        <f t="shared" si="9"/>
        <v>803.7922506183015</v>
      </c>
      <c r="Q68" s="731">
        <f t="shared" si="10"/>
        <v>252.93975680131896</v>
      </c>
      <c r="S68" s="88"/>
      <c r="T68" s="88"/>
    </row>
    <row r="69" spans="1:20" ht="12.75">
      <c r="A69" s="1045"/>
      <c r="B69" s="725">
        <v>6</v>
      </c>
      <c r="C69" s="798" t="s">
        <v>145</v>
      </c>
      <c r="D69" s="725">
        <v>54</v>
      </c>
      <c r="E69" s="725">
        <v>1985</v>
      </c>
      <c r="F69" s="727">
        <v>65.96</v>
      </c>
      <c r="G69" s="727">
        <v>10.25</v>
      </c>
      <c r="H69" s="727">
        <v>8.48</v>
      </c>
      <c r="I69" s="727">
        <f t="shared" si="11"/>
        <v>47.22999999999999</v>
      </c>
      <c r="J69" s="728">
        <v>3480</v>
      </c>
      <c r="K69" s="727">
        <f t="shared" si="5"/>
        <v>47.22999999999999</v>
      </c>
      <c r="L69" s="725">
        <v>3480</v>
      </c>
      <c r="M69" s="729">
        <f t="shared" si="6"/>
        <v>0.013571839080459768</v>
      </c>
      <c r="N69" s="730">
        <f t="shared" si="7"/>
        <v>314.683</v>
      </c>
      <c r="O69" s="730">
        <f t="shared" si="8"/>
        <v>4.270827037356321</v>
      </c>
      <c r="P69" s="730">
        <f t="shared" si="9"/>
        <v>814.310344827586</v>
      </c>
      <c r="Q69" s="731">
        <f t="shared" si="10"/>
        <v>256.24962224137926</v>
      </c>
      <c r="S69" s="88"/>
      <c r="T69" s="88"/>
    </row>
    <row r="70" spans="1:20" ht="12.75">
      <c r="A70" s="1045"/>
      <c r="B70" s="725">
        <v>7</v>
      </c>
      <c r="C70" s="798" t="s">
        <v>110</v>
      </c>
      <c r="D70" s="725">
        <v>83</v>
      </c>
      <c r="E70" s="725">
        <v>2006</v>
      </c>
      <c r="F70" s="727">
        <v>93.32</v>
      </c>
      <c r="G70" s="727">
        <v>12.21</v>
      </c>
      <c r="H70" s="727">
        <v>5.16</v>
      </c>
      <c r="I70" s="727">
        <f t="shared" si="11"/>
        <v>75.94999999999999</v>
      </c>
      <c r="J70" s="728">
        <v>5540.2</v>
      </c>
      <c r="K70" s="727">
        <f t="shared" si="5"/>
        <v>67.46145446012778</v>
      </c>
      <c r="L70" s="725">
        <v>4921</v>
      </c>
      <c r="M70" s="729">
        <f t="shared" si="6"/>
        <v>0.013708891375762606</v>
      </c>
      <c r="N70" s="730">
        <f t="shared" si="7"/>
        <v>314.683</v>
      </c>
      <c r="O70" s="730">
        <f t="shared" si="8"/>
        <v>4.313955064799104</v>
      </c>
      <c r="P70" s="730">
        <f t="shared" si="9"/>
        <v>822.5334825457563</v>
      </c>
      <c r="Q70" s="731">
        <f t="shared" si="10"/>
        <v>258.83730388794623</v>
      </c>
      <c r="S70" s="88"/>
      <c r="T70" s="88"/>
    </row>
    <row r="71" spans="1:20" ht="12.75">
      <c r="A71" s="1045"/>
      <c r="B71" s="725">
        <v>8</v>
      </c>
      <c r="C71" s="798" t="s">
        <v>141</v>
      </c>
      <c r="D71" s="725">
        <v>72</v>
      </c>
      <c r="E71" s="725">
        <v>1973</v>
      </c>
      <c r="F71" s="727">
        <v>78.29</v>
      </c>
      <c r="G71" s="727">
        <v>8.91</v>
      </c>
      <c r="H71" s="727">
        <v>11.52</v>
      </c>
      <c r="I71" s="727">
        <f t="shared" si="11"/>
        <v>57.860000000000014</v>
      </c>
      <c r="J71" s="728">
        <v>3785.4</v>
      </c>
      <c r="K71" s="727">
        <f t="shared" si="5"/>
        <v>57.85388598298728</v>
      </c>
      <c r="L71" s="725">
        <v>3785</v>
      </c>
      <c r="M71" s="729">
        <f t="shared" si="6"/>
        <v>0.015285042531832835</v>
      </c>
      <c r="N71" s="730">
        <f t="shared" si="7"/>
        <v>314.683</v>
      </c>
      <c r="O71" s="730">
        <f t="shared" si="8"/>
        <v>4.809943039044752</v>
      </c>
      <c r="P71" s="730">
        <f t="shared" si="9"/>
        <v>917.1025519099701</v>
      </c>
      <c r="Q71" s="731">
        <f t="shared" si="10"/>
        <v>288.5965823426851</v>
      </c>
      <c r="S71" s="88"/>
      <c r="T71" s="88"/>
    </row>
    <row r="72" spans="1:20" ht="12.75">
      <c r="A72" s="1045"/>
      <c r="B72" s="743">
        <v>9</v>
      </c>
      <c r="C72" s="798" t="s">
        <v>111</v>
      </c>
      <c r="D72" s="725">
        <v>50</v>
      </c>
      <c r="E72" s="725">
        <v>1988</v>
      </c>
      <c r="F72" s="727">
        <v>78.02</v>
      </c>
      <c r="G72" s="727">
        <v>10.35</v>
      </c>
      <c r="H72" s="727">
        <v>8</v>
      </c>
      <c r="I72" s="727">
        <f t="shared" si="11"/>
        <v>59.67</v>
      </c>
      <c r="J72" s="728">
        <v>3582.3</v>
      </c>
      <c r="K72" s="727">
        <f t="shared" si="5"/>
        <v>59.6650029310778</v>
      </c>
      <c r="L72" s="725">
        <v>3582</v>
      </c>
      <c r="M72" s="729">
        <f t="shared" si="6"/>
        <v>0.01665689640733607</v>
      </c>
      <c r="N72" s="730">
        <f t="shared" si="7"/>
        <v>314.683</v>
      </c>
      <c r="O72" s="730">
        <f t="shared" si="8"/>
        <v>5.241642132149736</v>
      </c>
      <c r="P72" s="730">
        <f t="shared" si="9"/>
        <v>999.4137844401641</v>
      </c>
      <c r="Q72" s="731">
        <f t="shared" si="10"/>
        <v>314.4985279289841</v>
      </c>
      <c r="S72" s="88"/>
      <c r="T72" s="88"/>
    </row>
    <row r="73" spans="1:20" ht="13.5" thickBot="1">
      <c r="A73" s="1046"/>
      <c r="B73" s="736">
        <v>10</v>
      </c>
      <c r="C73" s="899" t="s">
        <v>118</v>
      </c>
      <c r="D73" s="760">
        <v>118</v>
      </c>
      <c r="E73" s="760">
        <v>1961</v>
      </c>
      <c r="F73" s="809">
        <v>67.55</v>
      </c>
      <c r="G73" s="809">
        <v>11.79</v>
      </c>
      <c r="H73" s="809"/>
      <c r="I73" s="809">
        <f t="shared" si="11"/>
        <v>55.76</v>
      </c>
      <c r="J73" s="810">
        <v>2623.6</v>
      </c>
      <c r="K73" s="809">
        <f t="shared" si="5"/>
        <v>52.96307363927428</v>
      </c>
      <c r="L73" s="760">
        <v>2492</v>
      </c>
      <c r="M73" s="900">
        <f t="shared" si="6"/>
        <v>0.021253239823143772</v>
      </c>
      <c r="N73" s="831">
        <f t="shared" si="7"/>
        <v>314.683</v>
      </c>
      <c r="O73" s="831">
        <f t="shared" si="8"/>
        <v>6.688033267266351</v>
      </c>
      <c r="P73" s="831">
        <f t="shared" si="9"/>
        <v>1275.1943893886264</v>
      </c>
      <c r="Q73" s="901">
        <f t="shared" si="10"/>
        <v>401.2819960359811</v>
      </c>
      <c r="S73" s="88"/>
      <c r="T73" s="88"/>
    </row>
    <row r="74" spans="1:20" ht="12.75">
      <c r="A74" s="1047" t="s">
        <v>46</v>
      </c>
      <c r="B74" s="82">
        <v>1</v>
      </c>
      <c r="C74" s="474" t="s">
        <v>146</v>
      </c>
      <c r="D74" s="32">
        <v>41</v>
      </c>
      <c r="E74" s="32">
        <v>1987</v>
      </c>
      <c r="F74" s="373">
        <v>63.11</v>
      </c>
      <c r="G74" s="373">
        <v>5.04</v>
      </c>
      <c r="H74" s="373">
        <v>6.08</v>
      </c>
      <c r="I74" s="373">
        <f t="shared" si="11"/>
        <v>51.99</v>
      </c>
      <c r="J74" s="375">
        <v>2315.8</v>
      </c>
      <c r="K74" s="373">
        <f t="shared" si="5"/>
        <v>37.11005699974091</v>
      </c>
      <c r="L74" s="32">
        <v>1653</v>
      </c>
      <c r="M74" s="298">
        <f t="shared" si="6"/>
        <v>0.022450125226703515</v>
      </c>
      <c r="N74" s="299">
        <f t="shared" si="7"/>
        <v>314.683</v>
      </c>
      <c r="O74" s="299">
        <f t="shared" si="8"/>
        <v>7.064672756714742</v>
      </c>
      <c r="P74" s="299">
        <f t="shared" si="9"/>
        <v>1347.0075136022108</v>
      </c>
      <c r="Q74" s="300">
        <f t="shared" si="10"/>
        <v>423.8803654028845</v>
      </c>
      <c r="S74" s="88"/>
      <c r="T74" s="88"/>
    </row>
    <row r="75" spans="1:20" ht="12.75" customHeight="1">
      <c r="A75" s="1047"/>
      <c r="B75" s="34">
        <v>2</v>
      </c>
      <c r="C75" s="95" t="s">
        <v>114</v>
      </c>
      <c r="D75" s="34">
        <v>59</v>
      </c>
      <c r="E75" s="34">
        <v>1981</v>
      </c>
      <c r="F75" s="200">
        <v>94.09</v>
      </c>
      <c r="G75" s="200">
        <v>7.13</v>
      </c>
      <c r="H75" s="200">
        <v>9.6</v>
      </c>
      <c r="I75" s="200">
        <f t="shared" si="11"/>
        <v>77.36000000000001</v>
      </c>
      <c r="J75" s="309">
        <v>3418.8</v>
      </c>
      <c r="K75" s="200">
        <f t="shared" si="5"/>
        <v>75.93897273897275</v>
      </c>
      <c r="L75" s="34">
        <v>3356</v>
      </c>
      <c r="M75" s="301">
        <f t="shared" si="6"/>
        <v>0.022627822627822633</v>
      </c>
      <c r="N75" s="176">
        <f t="shared" si="7"/>
        <v>314.683</v>
      </c>
      <c r="O75" s="176">
        <f t="shared" si="8"/>
        <v>7.1205911079911095</v>
      </c>
      <c r="P75" s="176">
        <f t="shared" si="9"/>
        <v>1357.6693576693579</v>
      </c>
      <c r="Q75" s="177">
        <f t="shared" si="10"/>
        <v>427.23546647946654</v>
      </c>
      <c r="S75" s="88"/>
      <c r="T75" s="88"/>
    </row>
    <row r="76" spans="1:20" ht="12.75" customHeight="1">
      <c r="A76" s="1047"/>
      <c r="B76" s="34">
        <v>3</v>
      </c>
      <c r="C76" s="95" t="s">
        <v>113</v>
      </c>
      <c r="D76" s="34">
        <v>57</v>
      </c>
      <c r="E76" s="34">
        <v>1982</v>
      </c>
      <c r="F76" s="200">
        <v>98.76</v>
      </c>
      <c r="G76" s="200">
        <v>7.94</v>
      </c>
      <c r="H76" s="200">
        <v>8.64</v>
      </c>
      <c r="I76" s="200">
        <f t="shared" si="11"/>
        <v>82.18</v>
      </c>
      <c r="J76" s="309">
        <v>3486.1</v>
      </c>
      <c r="K76" s="200">
        <f t="shared" si="5"/>
        <v>82.17764263790484</v>
      </c>
      <c r="L76" s="34">
        <v>3486</v>
      </c>
      <c r="M76" s="301">
        <f t="shared" si="6"/>
        <v>0.02357362095177993</v>
      </c>
      <c r="N76" s="176">
        <f t="shared" si="7"/>
        <v>314.683</v>
      </c>
      <c r="O76" s="176">
        <f t="shared" si="8"/>
        <v>7.418217761968963</v>
      </c>
      <c r="P76" s="176">
        <f t="shared" si="9"/>
        <v>1414.4172571067957</v>
      </c>
      <c r="Q76" s="177">
        <f t="shared" si="10"/>
        <v>445.0930657181378</v>
      </c>
      <c r="S76" s="88"/>
      <c r="T76" s="88"/>
    </row>
    <row r="77" spans="1:20" ht="12.75" customHeight="1">
      <c r="A77" s="1047"/>
      <c r="B77" s="34">
        <v>4</v>
      </c>
      <c r="C77" s="95" t="s">
        <v>116</v>
      </c>
      <c r="D77" s="34">
        <v>54</v>
      </c>
      <c r="E77" s="34">
        <v>1987</v>
      </c>
      <c r="F77" s="200">
        <v>66.15</v>
      </c>
      <c r="G77" s="200">
        <v>6.32</v>
      </c>
      <c r="H77" s="200">
        <v>8.4</v>
      </c>
      <c r="I77" s="200">
        <f t="shared" si="11"/>
        <v>51.43000000000001</v>
      </c>
      <c r="J77" s="309">
        <v>2177.6</v>
      </c>
      <c r="K77" s="200">
        <f t="shared" si="5"/>
        <v>51.43944709772227</v>
      </c>
      <c r="L77" s="34">
        <v>2178</v>
      </c>
      <c r="M77" s="301">
        <f t="shared" si="6"/>
        <v>0.02361774430565761</v>
      </c>
      <c r="N77" s="176">
        <f t="shared" si="7"/>
        <v>314.683</v>
      </c>
      <c r="O77" s="176">
        <f t="shared" si="8"/>
        <v>7.432102631337253</v>
      </c>
      <c r="P77" s="176">
        <f t="shared" si="9"/>
        <v>1417.0646583394566</v>
      </c>
      <c r="Q77" s="177">
        <f t="shared" si="10"/>
        <v>445.9261578802352</v>
      </c>
      <c r="S77" s="88"/>
      <c r="T77" s="88"/>
    </row>
    <row r="78" spans="1:20" ht="12.75" customHeight="1">
      <c r="A78" s="1047"/>
      <c r="B78" s="34">
        <v>5</v>
      </c>
      <c r="C78" s="95" t="s">
        <v>147</v>
      </c>
      <c r="D78" s="34">
        <v>47</v>
      </c>
      <c r="E78" s="34">
        <v>1981</v>
      </c>
      <c r="F78" s="200">
        <v>90.23</v>
      </c>
      <c r="G78" s="200">
        <v>7.58</v>
      </c>
      <c r="H78" s="200">
        <v>11.63</v>
      </c>
      <c r="I78" s="200">
        <f t="shared" si="11"/>
        <v>71.02000000000001</v>
      </c>
      <c r="J78" s="309">
        <v>2980.6</v>
      </c>
      <c r="K78" s="200">
        <f t="shared" si="5"/>
        <v>68.00344897000605</v>
      </c>
      <c r="L78" s="34">
        <v>2854</v>
      </c>
      <c r="M78" s="301">
        <f t="shared" si="6"/>
        <v>0.0238274172985305</v>
      </c>
      <c r="N78" s="176">
        <f t="shared" si="7"/>
        <v>314.683</v>
      </c>
      <c r="O78" s="176">
        <f t="shared" si="8"/>
        <v>7.498083157753473</v>
      </c>
      <c r="P78" s="176">
        <f t="shared" si="9"/>
        <v>1429.64503791183</v>
      </c>
      <c r="Q78" s="177">
        <f t="shared" si="10"/>
        <v>449.88498946520843</v>
      </c>
      <c r="S78" s="88"/>
      <c r="T78" s="88"/>
    </row>
    <row r="79" spans="1:20" ht="12.75" customHeight="1">
      <c r="A79" s="1047"/>
      <c r="B79" s="34">
        <v>6</v>
      </c>
      <c r="C79" s="95" t="s">
        <v>115</v>
      </c>
      <c r="D79" s="34">
        <v>47</v>
      </c>
      <c r="E79" s="34">
        <v>1979</v>
      </c>
      <c r="F79" s="200">
        <v>91.85</v>
      </c>
      <c r="G79" s="200">
        <v>6.88</v>
      </c>
      <c r="H79" s="200">
        <v>7.6</v>
      </c>
      <c r="I79" s="200">
        <f t="shared" si="11"/>
        <v>77.37</v>
      </c>
      <c r="J79" s="309">
        <v>2974.6</v>
      </c>
      <c r="K79" s="200">
        <f t="shared" si="5"/>
        <v>75.89782155583944</v>
      </c>
      <c r="L79" s="34">
        <v>2918</v>
      </c>
      <c r="M79" s="301">
        <f t="shared" si="6"/>
        <v>0.02601021986149398</v>
      </c>
      <c r="N79" s="176">
        <f t="shared" si="7"/>
        <v>314.683</v>
      </c>
      <c r="O79" s="176">
        <f t="shared" si="8"/>
        <v>8.184974016674511</v>
      </c>
      <c r="P79" s="176">
        <f t="shared" si="9"/>
        <v>1560.6131916896388</v>
      </c>
      <c r="Q79" s="177">
        <f t="shared" si="10"/>
        <v>491.0984410004706</v>
      </c>
      <c r="S79" s="88"/>
      <c r="T79" s="88"/>
    </row>
    <row r="80" spans="1:20" s="92" customFormat="1" ht="12.75" customHeight="1">
      <c r="A80" s="1047"/>
      <c r="B80" s="97">
        <v>7</v>
      </c>
      <c r="C80" s="95" t="s">
        <v>119</v>
      </c>
      <c r="D80" s="34">
        <v>38</v>
      </c>
      <c r="E80" s="34">
        <v>1990</v>
      </c>
      <c r="F80" s="200">
        <v>67.3</v>
      </c>
      <c r="G80" s="200">
        <v>4.93</v>
      </c>
      <c r="H80" s="200">
        <v>5.84</v>
      </c>
      <c r="I80" s="200">
        <f t="shared" si="11"/>
        <v>56.53</v>
      </c>
      <c r="J80" s="309">
        <v>2119.3</v>
      </c>
      <c r="K80" s="200">
        <f t="shared" si="5"/>
        <v>56.521997829471985</v>
      </c>
      <c r="L80" s="34">
        <v>2119</v>
      </c>
      <c r="M80" s="301">
        <f t="shared" si="6"/>
        <v>0.026673901760015096</v>
      </c>
      <c r="N80" s="176">
        <f t="shared" si="7"/>
        <v>314.683</v>
      </c>
      <c r="O80" s="176">
        <f t="shared" si="8"/>
        <v>8.393823427546831</v>
      </c>
      <c r="P80" s="176">
        <f t="shared" si="9"/>
        <v>1600.4341056009057</v>
      </c>
      <c r="Q80" s="177">
        <f t="shared" si="10"/>
        <v>503.6294056528098</v>
      </c>
      <c r="S80" s="88"/>
      <c r="T80" s="88"/>
    </row>
    <row r="81" spans="1:20" ht="12.75" customHeight="1">
      <c r="A81" s="1047"/>
      <c r="B81" s="82">
        <v>8</v>
      </c>
      <c r="C81" s="95" t="s">
        <v>117</v>
      </c>
      <c r="D81" s="34">
        <v>107</v>
      </c>
      <c r="E81" s="34">
        <v>1974</v>
      </c>
      <c r="F81" s="200">
        <v>95.29</v>
      </c>
      <c r="G81" s="200">
        <v>9.55</v>
      </c>
      <c r="H81" s="200">
        <v>17.04</v>
      </c>
      <c r="I81" s="200">
        <f t="shared" si="11"/>
        <v>68.70000000000002</v>
      </c>
      <c r="J81" s="309">
        <v>2560</v>
      </c>
      <c r="K81" s="200">
        <f t="shared" si="5"/>
        <v>67.17035156250002</v>
      </c>
      <c r="L81" s="34">
        <v>2503</v>
      </c>
      <c r="M81" s="301">
        <f t="shared" si="6"/>
        <v>0.026835937500000007</v>
      </c>
      <c r="N81" s="176">
        <f t="shared" si="7"/>
        <v>314.683</v>
      </c>
      <c r="O81" s="176">
        <f t="shared" si="8"/>
        <v>8.444813320312502</v>
      </c>
      <c r="P81" s="176">
        <f t="shared" si="9"/>
        <v>1610.1562500000005</v>
      </c>
      <c r="Q81" s="177">
        <f t="shared" si="10"/>
        <v>506.68879921875015</v>
      </c>
      <c r="S81" s="88"/>
      <c r="T81" s="88"/>
    </row>
    <row r="82" spans="1:20" s="92" customFormat="1" ht="12.75" customHeight="1">
      <c r="A82" s="1047"/>
      <c r="B82" s="97">
        <v>9</v>
      </c>
      <c r="C82" s="95" t="s">
        <v>122</v>
      </c>
      <c r="D82" s="34">
        <v>29</v>
      </c>
      <c r="E82" s="34">
        <v>1961</v>
      </c>
      <c r="F82" s="200">
        <v>42.42</v>
      </c>
      <c r="G82" s="200">
        <v>3.63</v>
      </c>
      <c r="H82" s="200"/>
      <c r="I82" s="200">
        <f t="shared" si="11"/>
        <v>38.79</v>
      </c>
      <c r="J82" s="309">
        <v>1423.9</v>
      </c>
      <c r="K82" s="200">
        <f t="shared" si="5"/>
        <v>34.95159070159421</v>
      </c>
      <c r="L82" s="34">
        <v>1283</v>
      </c>
      <c r="M82" s="301">
        <f t="shared" si="6"/>
        <v>0.027242081606854415</v>
      </c>
      <c r="N82" s="176">
        <f t="shared" si="7"/>
        <v>314.683</v>
      </c>
      <c r="O82" s="176">
        <f t="shared" si="8"/>
        <v>8.572619966289768</v>
      </c>
      <c r="P82" s="176">
        <f t="shared" si="9"/>
        <v>1634.5248964112648</v>
      </c>
      <c r="Q82" s="177">
        <f t="shared" si="10"/>
        <v>514.357197977386</v>
      </c>
      <c r="S82" s="88"/>
      <c r="T82" s="88"/>
    </row>
    <row r="83" spans="1:20" ht="12.75" customHeight="1" thickBot="1">
      <c r="A83" s="1048"/>
      <c r="B83" s="36">
        <v>10</v>
      </c>
      <c r="C83" s="692" t="s">
        <v>121</v>
      </c>
      <c r="D83" s="75">
        <v>92</v>
      </c>
      <c r="E83" s="75">
        <v>1991</v>
      </c>
      <c r="F83" s="280">
        <v>130.55</v>
      </c>
      <c r="G83" s="280">
        <v>8.31</v>
      </c>
      <c r="H83" s="280">
        <v>15.12</v>
      </c>
      <c r="I83" s="280">
        <f t="shared" si="11"/>
        <v>107.12</v>
      </c>
      <c r="J83" s="395">
        <v>3720.6</v>
      </c>
      <c r="K83" s="280">
        <f t="shared" si="5"/>
        <v>102.035499650594</v>
      </c>
      <c r="L83" s="75">
        <v>3544</v>
      </c>
      <c r="M83" s="397">
        <f t="shared" si="6"/>
        <v>0.028791055206149548</v>
      </c>
      <c r="N83" s="186">
        <f t="shared" si="7"/>
        <v>314.683</v>
      </c>
      <c r="O83" s="186">
        <f t="shared" si="8"/>
        <v>9.060055625436759</v>
      </c>
      <c r="P83" s="186">
        <f t="shared" si="9"/>
        <v>1727.463312368973</v>
      </c>
      <c r="Q83" s="459">
        <f t="shared" si="10"/>
        <v>543.6033375262055</v>
      </c>
      <c r="S83" s="88"/>
      <c r="T83" s="88"/>
    </row>
    <row r="84" spans="1:20" ht="12.75">
      <c r="A84" s="1017" t="s">
        <v>51</v>
      </c>
      <c r="B84" s="79">
        <v>1</v>
      </c>
      <c r="C84" s="475" t="s">
        <v>131</v>
      </c>
      <c r="D84" s="39">
        <v>83</v>
      </c>
      <c r="E84" s="39">
        <v>1963</v>
      </c>
      <c r="F84" s="379">
        <v>142.38</v>
      </c>
      <c r="G84" s="379">
        <v>9.3</v>
      </c>
      <c r="H84" s="379">
        <v>1.34</v>
      </c>
      <c r="I84" s="379">
        <f t="shared" si="11"/>
        <v>131.73999999999998</v>
      </c>
      <c r="J84" s="398">
        <v>4480.8</v>
      </c>
      <c r="K84" s="379">
        <f t="shared" si="5"/>
        <v>108.66609534011782</v>
      </c>
      <c r="L84" s="39">
        <v>3696</v>
      </c>
      <c r="M84" s="305">
        <f t="shared" si="6"/>
        <v>0.02940099982146045</v>
      </c>
      <c r="N84" s="337">
        <f t="shared" si="7"/>
        <v>314.683</v>
      </c>
      <c r="O84" s="337">
        <f t="shared" si="8"/>
        <v>9.251994826816638</v>
      </c>
      <c r="P84" s="337">
        <f t="shared" si="9"/>
        <v>1764.0599892876269</v>
      </c>
      <c r="Q84" s="268">
        <f t="shared" si="10"/>
        <v>555.1196896089982</v>
      </c>
      <c r="S84" s="88"/>
      <c r="T84" s="88"/>
    </row>
    <row r="85" spans="1:20" ht="12.75" customHeight="1">
      <c r="A85" s="1017"/>
      <c r="B85" s="41">
        <v>2</v>
      </c>
      <c r="C85" s="108" t="s">
        <v>124</v>
      </c>
      <c r="D85" s="41">
        <v>77</v>
      </c>
      <c r="E85" s="41">
        <v>1960</v>
      </c>
      <c r="F85" s="201">
        <v>45.07</v>
      </c>
      <c r="G85" s="201">
        <v>6.48</v>
      </c>
      <c r="H85" s="201">
        <v>1.16</v>
      </c>
      <c r="I85" s="201">
        <f t="shared" si="11"/>
        <v>37.43000000000001</v>
      </c>
      <c r="J85" s="376">
        <v>1264.2</v>
      </c>
      <c r="K85" s="201">
        <f t="shared" si="5"/>
        <v>36.950355956336026</v>
      </c>
      <c r="L85" s="41">
        <v>1248</v>
      </c>
      <c r="M85" s="286">
        <f t="shared" si="6"/>
        <v>0.02960765701629489</v>
      </c>
      <c r="N85" s="178">
        <f t="shared" si="7"/>
        <v>314.683</v>
      </c>
      <c r="O85" s="178">
        <f t="shared" si="8"/>
        <v>9.317026332858726</v>
      </c>
      <c r="P85" s="178">
        <f t="shared" si="9"/>
        <v>1776.4594209776935</v>
      </c>
      <c r="Q85" s="265">
        <f t="shared" si="10"/>
        <v>559.0215799715235</v>
      </c>
      <c r="S85" s="88"/>
      <c r="T85" s="88"/>
    </row>
    <row r="86" spans="1:20" ht="12.75" customHeight="1">
      <c r="A86" s="1017"/>
      <c r="B86" s="41">
        <v>3</v>
      </c>
      <c r="C86" s="108" t="s">
        <v>123</v>
      </c>
      <c r="D86" s="41">
        <v>82</v>
      </c>
      <c r="E86" s="41">
        <v>1962</v>
      </c>
      <c r="F86" s="201">
        <v>46.26</v>
      </c>
      <c r="G86" s="201">
        <v>6.11</v>
      </c>
      <c r="H86" s="201"/>
      <c r="I86" s="201">
        <f t="shared" si="11"/>
        <v>40.15</v>
      </c>
      <c r="J86" s="376">
        <v>1348.7</v>
      </c>
      <c r="K86" s="201">
        <f t="shared" si="5"/>
        <v>37.95599466152591</v>
      </c>
      <c r="L86" s="41">
        <v>1275</v>
      </c>
      <c r="M86" s="286">
        <f t="shared" si="6"/>
        <v>0.029769407577667377</v>
      </c>
      <c r="N86" s="178">
        <f t="shared" si="7"/>
        <v>314.683</v>
      </c>
      <c r="O86" s="178">
        <f t="shared" si="8"/>
        <v>9.367926484763103</v>
      </c>
      <c r="P86" s="178">
        <f t="shared" si="9"/>
        <v>1786.1644546600426</v>
      </c>
      <c r="Q86" s="265">
        <f t="shared" si="10"/>
        <v>562.0755890857862</v>
      </c>
      <c r="S86" s="88"/>
      <c r="T86" s="88"/>
    </row>
    <row r="87" spans="1:20" ht="12.75" customHeight="1">
      <c r="A87" s="1017"/>
      <c r="B87" s="41">
        <v>4</v>
      </c>
      <c r="C87" s="108" t="s">
        <v>125</v>
      </c>
      <c r="D87" s="41">
        <v>103</v>
      </c>
      <c r="E87" s="41">
        <v>1972</v>
      </c>
      <c r="F87" s="201">
        <v>101.19</v>
      </c>
      <c r="G87" s="201">
        <v>8.96</v>
      </c>
      <c r="H87" s="201">
        <v>15.9</v>
      </c>
      <c r="I87" s="201">
        <f t="shared" si="11"/>
        <v>76.32999999999998</v>
      </c>
      <c r="J87" s="376">
        <v>2557.5</v>
      </c>
      <c r="K87" s="201">
        <f t="shared" si="5"/>
        <v>73.50959530791786</v>
      </c>
      <c r="L87" s="41">
        <v>2463</v>
      </c>
      <c r="M87" s="286">
        <f t="shared" si="6"/>
        <v>0.02984555229716519</v>
      </c>
      <c r="N87" s="178">
        <f t="shared" si="7"/>
        <v>314.683</v>
      </c>
      <c r="O87" s="178">
        <f t="shared" si="8"/>
        <v>9.391887933528833</v>
      </c>
      <c r="P87" s="178">
        <f t="shared" si="9"/>
        <v>1790.7331378299114</v>
      </c>
      <c r="Q87" s="265">
        <f t="shared" si="10"/>
        <v>563.51327601173</v>
      </c>
      <c r="S87" s="88"/>
      <c r="T87" s="88"/>
    </row>
    <row r="88" spans="1:20" ht="12.75" customHeight="1">
      <c r="A88" s="1017"/>
      <c r="B88" s="41">
        <v>5</v>
      </c>
      <c r="C88" s="108" t="s">
        <v>126</v>
      </c>
      <c r="D88" s="41">
        <v>55</v>
      </c>
      <c r="E88" s="41">
        <v>1977</v>
      </c>
      <c r="F88" s="201">
        <v>82.6</v>
      </c>
      <c r="G88" s="201">
        <v>4.9</v>
      </c>
      <c r="H88" s="201">
        <v>8.56</v>
      </c>
      <c r="I88" s="201">
        <f t="shared" si="11"/>
        <v>69.13999999999999</v>
      </c>
      <c r="J88" s="376">
        <v>2217.3</v>
      </c>
      <c r="K88" s="201">
        <f t="shared" si="5"/>
        <v>69.13064537951561</v>
      </c>
      <c r="L88" s="41">
        <v>2217</v>
      </c>
      <c r="M88" s="286">
        <f t="shared" si="6"/>
        <v>0.031182068281242946</v>
      </c>
      <c r="N88" s="178">
        <f t="shared" si="7"/>
        <v>314.683</v>
      </c>
      <c r="O88" s="178">
        <f t="shared" si="8"/>
        <v>9.812466792946374</v>
      </c>
      <c r="P88" s="178">
        <f t="shared" si="9"/>
        <v>1870.924096874577</v>
      </c>
      <c r="Q88" s="265">
        <f t="shared" si="10"/>
        <v>588.7480075767825</v>
      </c>
      <c r="S88" s="88"/>
      <c r="T88" s="88"/>
    </row>
    <row r="89" spans="1:20" ht="12.75" customHeight="1">
      <c r="A89" s="1017"/>
      <c r="B89" s="41">
        <v>6</v>
      </c>
      <c r="C89" s="108" t="s">
        <v>120</v>
      </c>
      <c r="D89" s="41">
        <v>108</v>
      </c>
      <c r="E89" s="41">
        <v>1968</v>
      </c>
      <c r="F89" s="201">
        <v>110.28</v>
      </c>
      <c r="G89" s="201">
        <v>8.86</v>
      </c>
      <c r="H89" s="201">
        <v>17.2</v>
      </c>
      <c r="I89" s="201">
        <f t="shared" si="11"/>
        <v>84.22</v>
      </c>
      <c r="J89" s="376">
        <v>2558.4</v>
      </c>
      <c r="K89" s="201">
        <f t="shared" si="5"/>
        <v>84.20683239524702</v>
      </c>
      <c r="L89" s="41">
        <v>2558</v>
      </c>
      <c r="M89" s="286">
        <f t="shared" si="6"/>
        <v>0.03291901188242651</v>
      </c>
      <c r="N89" s="178">
        <f t="shared" si="7"/>
        <v>314.683</v>
      </c>
      <c r="O89" s="178">
        <f t="shared" si="8"/>
        <v>10.359053416197622</v>
      </c>
      <c r="P89" s="178">
        <f t="shared" si="9"/>
        <v>1975.1407129455906</v>
      </c>
      <c r="Q89" s="265">
        <f t="shared" si="10"/>
        <v>621.5432049718572</v>
      </c>
      <c r="S89" s="88"/>
      <c r="T89" s="88"/>
    </row>
    <row r="90" spans="1:20" ht="12.75" customHeight="1">
      <c r="A90" s="1017"/>
      <c r="B90" s="41">
        <v>7</v>
      </c>
      <c r="C90" s="108" t="s">
        <v>128</v>
      </c>
      <c r="D90" s="41">
        <v>19</v>
      </c>
      <c r="E90" s="41">
        <v>1959</v>
      </c>
      <c r="F90" s="201">
        <v>36.29</v>
      </c>
      <c r="G90" s="201">
        <v>2.19</v>
      </c>
      <c r="H90" s="201"/>
      <c r="I90" s="201">
        <f t="shared" si="11"/>
        <v>34.1</v>
      </c>
      <c r="J90" s="376">
        <v>1005.8</v>
      </c>
      <c r="K90" s="201">
        <f t="shared" si="5"/>
        <v>34.10678067210181</v>
      </c>
      <c r="L90" s="41">
        <v>1006</v>
      </c>
      <c r="M90" s="286">
        <f t="shared" si="6"/>
        <v>0.03390336050904753</v>
      </c>
      <c r="N90" s="178">
        <f t="shared" si="7"/>
        <v>314.683</v>
      </c>
      <c r="O90" s="178">
        <f t="shared" si="8"/>
        <v>10.668811195068603</v>
      </c>
      <c r="P90" s="178">
        <f t="shared" si="9"/>
        <v>2034.2016305428517</v>
      </c>
      <c r="Q90" s="265">
        <f t="shared" si="10"/>
        <v>640.1286717041162</v>
      </c>
      <c r="S90" s="88"/>
      <c r="T90" s="88"/>
    </row>
    <row r="91" spans="1:20" ht="13.5" customHeight="1">
      <c r="A91" s="1017"/>
      <c r="B91" s="89">
        <v>8</v>
      </c>
      <c r="C91" s="108" t="s">
        <v>127</v>
      </c>
      <c r="D91" s="41">
        <v>25</v>
      </c>
      <c r="E91" s="41">
        <v>1957</v>
      </c>
      <c r="F91" s="201">
        <v>63.19</v>
      </c>
      <c r="G91" s="201"/>
      <c r="H91" s="201"/>
      <c r="I91" s="201">
        <f t="shared" si="11"/>
        <v>63.19</v>
      </c>
      <c r="J91" s="376">
        <v>1561.5</v>
      </c>
      <c r="K91" s="201">
        <f t="shared" si="5"/>
        <v>63.210233749599745</v>
      </c>
      <c r="L91" s="41">
        <v>1562</v>
      </c>
      <c r="M91" s="286">
        <f t="shared" si="6"/>
        <v>0.04046749919948767</v>
      </c>
      <c r="N91" s="178">
        <f t="shared" si="7"/>
        <v>314.683</v>
      </c>
      <c r="O91" s="178">
        <f t="shared" si="8"/>
        <v>12.734434050592379</v>
      </c>
      <c r="P91" s="178">
        <f t="shared" si="9"/>
        <v>2428.0499519692603</v>
      </c>
      <c r="Q91" s="265">
        <f t="shared" si="10"/>
        <v>764.0660430355427</v>
      </c>
      <c r="S91" s="88"/>
      <c r="T91" s="88"/>
    </row>
    <row r="92" spans="1:20" ht="12.75" customHeight="1">
      <c r="A92" s="1017"/>
      <c r="B92" s="41">
        <v>9</v>
      </c>
      <c r="C92" s="108" t="s">
        <v>129</v>
      </c>
      <c r="D92" s="41">
        <v>63</v>
      </c>
      <c r="E92" s="41">
        <v>1960</v>
      </c>
      <c r="F92" s="201">
        <v>43.5</v>
      </c>
      <c r="G92" s="201">
        <v>5.23</v>
      </c>
      <c r="H92" s="201"/>
      <c r="I92" s="201">
        <f t="shared" si="11"/>
        <v>38.269999999999996</v>
      </c>
      <c r="J92" s="376">
        <v>924</v>
      </c>
      <c r="K92" s="201">
        <f t="shared" si="5"/>
        <v>38.269999999999996</v>
      </c>
      <c r="L92" s="41">
        <v>924</v>
      </c>
      <c r="M92" s="286">
        <f t="shared" si="6"/>
        <v>0.041417748917748916</v>
      </c>
      <c r="N92" s="178">
        <f t="shared" si="7"/>
        <v>314.683</v>
      </c>
      <c r="O92" s="178">
        <f t="shared" si="8"/>
        <v>13.033461482683983</v>
      </c>
      <c r="P92" s="178">
        <f t="shared" si="9"/>
        <v>2485.0649350649346</v>
      </c>
      <c r="Q92" s="265">
        <f t="shared" si="10"/>
        <v>782.0076889610389</v>
      </c>
      <c r="S92" s="88"/>
      <c r="T92" s="88"/>
    </row>
    <row r="93" spans="1:20" ht="12.75" customHeight="1" thickBot="1">
      <c r="A93" s="1018"/>
      <c r="B93" s="45">
        <v>10</v>
      </c>
      <c r="C93" s="366" t="s">
        <v>308</v>
      </c>
      <c r="D93" s="45">
        <v>8</v>
      </c>
      <c r="E93" s="45">
        <v>1901</v>
      </c>
      <c r="F93" s="380">
        <v>15.26</v>
      </c>
      <c r="G93" s="380"/>
      <c r="H93" s="380"/>
      <c r="I93" s="380">
        <f>F93</f>
        <v>15.26</v>
      </c>
      <c r="J93" s="384">
        <v>330</v>
      </c>
      <c r="K93" s="380">
        <f t="shared" si="5"/>
        <v>15.260000000000002</v>
      </c>
      <c r="L93" s="45">
        <v>330</v>
      </c>
      <c r="M93" s="306">
        <f t="shared" si="6"/>
        <v>0.046242424242424245</v>
      </c>
      <c r="N93" s="307">
        <f t="shared" si="7"/>
        <v>314.683</v>
      </c>
      <c r="O93" s="307">
        <f t="shared" si="8"/>
        <v>14.551704787878789</v>
      </c>
      <c r="P93" s="307">
        <f t="shared" si="9"/>
        <v>2774.545454545455</v>
      </c>
      <c r="Q93" s="269">
        <f t="shared" si="10"/>
        <v>873.1022872727274</v>
      </c>
      <c r="S93" s="88"/>
      <c r="T93" s="88"/>
    </row>
    <row r="94" spans="3:20" ht="12.75">
      <c r="C94" s="1"/>
      <c r="N94" s="240"/>
      <c r="S94" s="88"/>
      <c r="T94" s="88"/>
    </row>
    <row r="95" spans="1:20" ht="15">
      <c r="A95" s="1015" t="s">
        <v>56</v>
      </c>
      <c r="B95" s="1015"/>
      <c r="C95" s="1015"/>
      <c r="D95" s="1015"/>
      <c r="E95" s="1015"/>
      <c r="F95" s="1015"/>
      <c r="G95" s="1015"/>
      <c r="H95" s="1015"/>
      <c r="I95" s="1015"/>
      <c r="J95" s="1015"/>
      <c r="K95" s="1015"/>
      <c r="L95" s="1015"/>
      <c r="M95" s="1015"/>
      <c r="N95" s="1015"/>
      <c r="O95" s="1015"/>
      <c r="P95" s="1015"/>
      <c r="Q95" s="1015"/>
      <c r="S95" s="88"/>
      <c r="T95" s="88"/>
    </row>
    <row r="96" spans="1:20" ht="13.5" thickBot="1">
      <c r="A96" s="968" t="s">
        <v>514</v>
      </c>
      <c r="B96" s="968"/>
      <c r="C96" s="968"/>
      <c r="D96" s="968"/>
      <c r="E96" s="968"/>
      <c r="F96" s="968"/>
      <c r="G96" s="968"/>
      <c r="H96" s="968"/>
      <c r="I96" s="968"/>
      <c r="J96" s="968"/>
      <c r="K96" s="968"/>
      <c r="L96" s="968"/>
      <c r="M96" s="968"/>
      <c r="N96" s="968"/>
      <c r="O96" s="968"/>
      <c r="P96" s="968"/>
      <c r="Q96" s="968"/>
      <c r="S96" s="88"/>
      <c r="T96" s="88"/>
    </row>
    <row r="97" spans="1:20" ht="12.75" customHeight="1">
      <c r="A97" s="952" t="s">
        <v>1</v>
      </c>
      <c r="B97" s="955" t="s">
        <v>0</v>
      </c>
      <c r="C97" s="944" t="s">
        <v>2</v>
      </c>
      <c r="D97" s="944" t="s">
        <v>3</v>
      </c>
      <c r="E97" s="944" t="s">
        <v>13</v>
      </c>
      <c r="F97" s="960" t="s">
        <v>14</v>
      </c>
      <c r="G97" s="961"/>
      <c r="H97" s="961"/>
      <c r="I97" s="962"/>
      <c r="J97" s="944" t="s">
        <v>4</v>
      </c>
      <c r="K97" s="944" t="s">
        <v>15</v>
      </c>
      <c r="L97" s="944" t="s">
        <v>5</v>
      </c>
      <c r="M97" s="944" t="s">
        <v>6</v>
      </c>
      <c r="N97" s="944" t="s">
        <v>16</v>
      </c>
      <c r="O97" s="944" t="s">
        <v>17</v>
      </c>
      <c r="P97" s="944" t="s">
        <v>25</v>
      </c>
      <c r="Q97" s="1055" t="s">
        <v>26</v>
      </c>
      <c r="S97" s="88"/>
      <c r="T97" s="88"/>
    </row>
    <row r="98" spans="1:20" ht="55.5" customHeight="1" thickBot="1">
      <c r="A98" s="954"/>
      <c r="B98" s="957"/>
      <c r="C98" s="959"/>
      <c r="D98" s="959"/>
      <c r="E98" s="959"/>
      <c r="F98" s="20" t="s">
        <v>18</v>
      </c>
      <c r="G98" s="21" t="s">
        <v>19</v>
      </c>
      <c r="H98" s="21" t="s">
        <v>32</v>
      </c>
      <c r="I98" s="20" t="s">
        <v>21</v>
      </c>
      <c r="J98" s="959"/>
      <c r="K98" s="959"/>
      <c r="L98" s="959"/>
      <c r="M98" s="959"/>
      <c r="N98" s="959"/>
      <c r="O98" s="959"/>
      <c r="P98" s="959"/>
      <c r="Q98" s="1056"/>
      <c r="S98" s="88"/>
      <c r="T98" s="88"/>
    </row>
    <row r="99" spans="1:20" ht="13.5" customHeight="1" thickBot="1">
      <c r="A99" s="22"/>
      <c r="B99" s="23"/>
      <c r="C99" s="24"/>
      <c r="D99" s="25" t="s">
        <v>7</v>
      </c>
      <c r="E99" s="26" t="s">
        <v>8</v>
      </c>
      <c r="F99" s="26" t="s">
        <v>9</v>
      </c>
      <c r="G99" s="26" t="s">
        <v>9</v>
      </c>
      <c r="H99" s="26" t="s">
        <v>9</v>
      </c>
      <c r="I99" s="26" t="s">
        <v>9</v>
      </c>
      <c r="J99" s="26" t="s">
        <v>22</v>
      </c>
      <c r="K99" s="26" t="s">
        <v>9</v>
      </c>
      <c r="L99" s="26" t="s">
        <v>22</v>
      </c>
      <c r="M99" s="26" t="s">
        <v>148</v>
      </c>
      <c r="N99" s="27" t="s">
        <v>10</v>
      </c>
      <c r="O99" s="26" t="s">
        <v>149</v>
      </c>
      <c r="P99" s="27" t="s">
        <v>27</v>
      </c>
      <c r="Q99" s="28" t="s">
        <v>28</v>
      </c>
      <c r="S99" s="88"/>
      <c r="T99" s="88"/>
    </row>
    <row r="100" spans="1:20" ht="12.75" customHeight="1">
      <c r="A100" s="1006" t="s">
        <v>307</v>
      </c>
      <c r="B100" s="29">
        <v>1</v>
      </c>
      <c r="C100" s="487" t="s">
        <v>515</v>
      </c>
      <c r="D100" s="131">
        <v>60</v>
      </c>
      <c r="E100" s="131">
        <v>1972</v>
      </c>
      <c r="F100" s="247">
        <v>21.88</v>
      </c>
      <c r="G100" s="247">
        <v>3.9388</v>
      </c>
      <c r="H100" s="247">
        <v>5.97</v>
      </c>
      <c r="I100" s="247">
        <f>F100-G100-H100</f>
        <v>11.9712</v>
      </c>
      <c r="J100" s="558">
        <v>3118</v>
      </c>
      <c r="K100" s="247">
        <f>I100</f>
        <v>11.9712</v>
      </c>
      <c r="L100" s="558">
        <f>J100</f>
        <v>3118</v>
      </c>
      <c r="M100" s="315">
        <f>K100/L100</f>
        <v>0.0038393842206542656</v>
      </c>
      <c r="N100" s="314">
        <v>268.358</v>
      </c>
      <c r="O100" s="316">
        <f>M100*N100</f>
        <v>1.0303294706863375</v>
      </c>
      <c r="P100" s="316">
        <f>M100*60*1000</f>
        <v>230.36305323925592</v>
      </c>
      <c r="Q100" s="203">
        <f>P100*N100/1000</f>
        <v>61.819768241180235</v>
      </c>
      <c r="S100" s="88"/>
      <c r="T100" s="88"/>
    </row>
    <row r="101" spans="1:20" ht="12.75">
      <c r="A101" s="1007"/>
      <c r="B101" s="30">
        <v>2</v>
      </c>
      <c r="C101" s="158" t="s">
        <v>516</v>
      </c>
      <c r="D101" s="132">
        <v>60</v>
      </c>
      <c r="E101" s="132">
        <v>2006</v>
      </c>
      <c r="F101" s="248">
        <v>35.854</v>
      </c>
      <c r="G101" s="248">
        <v>8.415</v>
      </c>
      <c r="H101" s="248">
        <v>4.8</v>
      </c>
      <c r="I101" s="253">
        <f aca="true" t="shared" si="12" ref="I101:I136">F101-G101-H101</f>
        <v>22.639</v>
      </c>
      <c r="J101" s="271">
        <v>4497.37</v>
      </c>
      <c r="K101" s="253">
        <f aca="true" t="shared" si="13" ref="K101:L139">I101</f>
        <v>22.639</v>
      </c>
      <c r="L101" s="270">
        <f t="shared" si="13"/>
        <v>4497.37</v>
      </c>
      <c r="M101" s="141">
        <f aca="true" t="shared" si="14" ref="M101:M109">K101/L101</f>
        <v>0.005033830883382955</v>
      </c>
      <c r="N101" s="160">
        <v>268.36</v>
      </c>
      <c r="O101" s="143">
        <f aca="true" t="shared" si="15" ref="O101:O119">M101*N101</f>
        <v>1.3508788558646498</v>
      </c>
      <c r="P101" s="164">
        <f aca="true" t="shared" si="16" ref="P101:P119">M101*60*1000</f>
        <v>302.0298530029773</v>
      </c>
      <c r="Q101" s="144">
        <f aca="true" t="shared" si="17" ref="Q101:Q119">P101*N101/1000</f>
        <v>81.05273135187899</v>
      </c>
      <c r="S101" s="88"/>
      <c r="T101" s="88"/>
    </row>
    <row r="102" spans="1:20" ht="12.75">
      <c r="A102" s="1007"/>
      <c r="B102" s="30">
        <v>3</v>
      </c>
      <c r="C102" s="158" t="s">
        <v>517</v>
      </c>
      <c r="D102" s="132">
        <v>135</v>
      </c>
      <c r="E102" s="132">
        <v>1979</v>
      </c>
      <c r="F102" s="248">
        <v>64.9</v>
      </c>
      <c r="G102" s="248">
        <v>14.431</v>
      </c>
      <c r="H102" s="248">
        <v>13.5</v>
      </c>
      <c r="I102" s="253">
        <f t="shared" si="12"/>
        <v>36.96900000000001</v>
      </c>
      <c r="J102" s="271">
        <v>7266.92</v>
      </c>
      <c r="K102" s="253">
        <f t="shared" si="13"/>
        <v>36.96900000000001</v>
      </c>
      <c r="L102" s="270">
        <f t="shared" si="13"/>
        <v>7266.92</v>
      </c>
      <c r="M102" s="141">
        <f t="shared" si="14"/>
        <v>0.005087299708817492</v>
      </c>
      <c r="N102" s="160">
        <f>N101</f>
        <v>268.36</v>
      </c>
      <c r="O102" s="143">
        <f t="shared" si="15"/>
        <v>1.3652277498582621</v>
      </c>
      <c r="P102" s="164">
        <f t="shared" si="16"/>
        <v>305.2379825290495</v>
      </c>
      <c r="Q102" s="144">
        <f t="shared" si="17"/>
        <v>81.91366499149572</v>
      </c>
      <c r="S102" s="88"/>
      <c r="T102" s="88"/>
    </row>
    <row r="103" spans="1:20" ht="12.75">
      <c r="A103" s="1007"/>
      <c r="B103" s="30">
        <v>4</v>
      </c>
      <c r="C103" s="158" t="s">
        <v>518</v>
      </c>
      <c r="D103" s="132">
        <v>54</v>
      </c>
      <c r="E103" s="132">
        <v>2006</v>
      </c>
      <c r="F103" s="248">
        <v>35.3</v>
      </c>
      <c r="G103" s="248">
        <v>8.542</v>
      </c>
      <c r="H103" s="248">
        <v>4.252</v>
      </c>
      <c r="I103" s="253">
        <f t="shared" si="12"/>
        <v>22.505999999999997</v>
      </c>
      <c r="J103" s="271">
        <v>3251.08</v>
      </c>
      <c r="K103" s="253">
        <f t="shared" si="13"/>
        <v>22.505999999999997</v>
      </c>
      <c r="L103" s="270">
        <f t="shared" si="13"/>
        <v>3251.08</v>
      </c>
      <c r="M103" s="141">
        <f t="shared" si="14"/>
        <v>0.006922622636170134</v>
      </c>
      <c r="N103" s="160">
        <f aca="true" t="shared" si="18" ref="N103:N108">N102</f>
        <v>268.36</v>
      </c>
      <c r="O103" s="143">
        <f t="shared" si="15"/>
        <v>1.8577550106426173</v>
      </c>
      <c r="P103" s="164">
        <f t="shared" si="16"/>
        <v>415.35735817020804</v>
      </c>
      <c r="Q103" s="144">
        <f t="shared" si="17"/>
        <v>111.46530063855704</v>
      </c>
      <c r="S103" s="88"/>
      <c r="T103" s="88"/>
    </row>
    <row r="104" spans="1:20" ht="12.75">
      <c r="A104" s="1007"/>
      <c r="B104" s="30">
        <v>5</v>
      </c>
      <c r="C104" s="158" t="s">
        <v>519</v>
      </c>
      <c r="D104" s="132">
        <v>72</v>
      </c>
      <c r="E104" s="132">
        <v>1969</v>
      </c>
      <c r="F104" s="248">
        <v>42.511</v>
      </c>
      <c r="G104" s="248">
        <v>7.204</v>
      </c>
      <c r="H104" s="248">
        <v>7.2</v>
      </c>
      <c r="I104" s="253">
        <f t="shared" si="12"/>
        <v>28.107000000000003</v>
      </c>
      <c r="J104" s="271">
        <v>3814.69</v>
      </c>
      <c r="K104" s="253">
        <f t="shared" si="13"/>
        <v>28.107000000000003</v>
      </c>
      <c r="L104" s="270">
        <f t="shared" si="13"/>
        <v>3814.69</v>
      </c>
      <c r="M104" s="141">
        <f t="shared" si="14"/>
        <v>0.007368095441569303</v>
      </c>
      <c r="N104" s="160">
        <f t="shared" si="18"/>
        <v>268.36</v>
      </c>
      <c r="O104" s="143">
        <f t="shared" si="15"/>
        <v>1.9773020926995382</v>
      </c>
      <c r="P104" s="164">
        <f t="shared" si="16"/>
        <v>442.08572649415817</v>
      </c>
      <c r="Q104" s="144">
        <f t="shared" si="17"/>
        <v>118.63812556197229</v>
      </c>
      <c r="S104" s="88"/>
      <c r="T104" s="88"/>
    </row>
    <row r="105" spans="1:20" ht="12.75">
      <c r="A105" s="1007"/>
      <c r="B105" s="30">
        <v>6</v>
      </c>
      <c r="C105" s="158" t="s">
        <v>520</v>
      </c>
      <c r="D105" s="132">
        <v>86</v>
      </c>
      <c r="E105" s="132">
        <v>2007</v>
      </c>
      <c r="F105" s="248">
        <v>53.11</v>
      </c>
      <c r="G105" s="248">
        <v>4.4209</v>
      </c>
      <c r="H105" s="248">
        <v>0</v>
      </c>
      <c r="I105" s="253">
        <f t="shared" si="12"/>
        <v>48.689099999999996</v>
      </c>
      <c r="J105" s="271">
        <v>5864.03</v>
      </c>
      <c r="K105" s="253">
        <f t="shared" si="13"/>
        <v>48.689099999999996</v>
      </c>
      <c r="L105" s="270">
        <f t="shared" si="13"/>
        <v>5864.03</v>
      </c>
      <c r="M105" s="141">
        <f t="shared" si="14"/>
        <v>0.008303010045992262</v>
      </c>
      <c r="N105" s="160">
        <f t="shared" si="18"/>
        <v>268.36</v>
      </c>
      <c r="O105" s="143">
        <f t="shared" si="15"/>
        <v>2.2281957759424835</v>
      </c>
      <c r="P105" s="164">
        <f t="shared" si="16"/>
        <v>498.1806027595357</v>
      </c>
      <c r="Q105" s="144">
        <f t="shared" si="17"/>
        <v>133.69174655654902</v>
      </c>
      <c r="S105" s="88"/>
      <c r="T105" s="88"/>
    </row>
    <row r="106" spans="1:20" ht="12.75">
      <c r="A106" s="1007"/>
      <c r="B106" s="30">
        <v>7</v>
      </c>
      <c r="C106" s="158" t="s">
        <v>521</v>
      </c>
      <c r="D106" s="132">
        <v>55</v>
      </c>
      <c r="E106" s="132">
        <v>2006</v>
      </c>
      <c r="F106" s="248">
        <v>41.309</v>
      </c>
      <c r="G106" s="248">
        <v>9.205</v>
      </c>
      <c r="H106" s="248">
        <v>4.4</v>
      </c>
      <c r="I106" s="253">
        <f t="shared" si="12"/>
        <v>27.704</v>
      </c>
      <c r="J106" s="271">
        <v>3151.06</v>
      </c>
      <c r="K106" s="253">
        <f t="shared" si="13"/>
        <v>27.704</v>
      </c>
      <c r="L106" s="270">
        <f t="shared" si="13"/>
        <v>3151.06</v>
      </c>
      <c r="M106" s="141">
        <f t="shared" si="14"/>
        <v>0.008791962069906635</v>
      </c>
      <c r="N106" s="160">
        <f t="shared" si="18"/>
        <v>268.36</v>
      </c>
      <c r="O106" s="143">
        <f t="shared" si="15"/>
        <v>2.3594109410801445</v>
      </c>
      <c r="P106" s="164">
        <f t="shared" si="16"/>
        <v>527.5177241943982</v>
      </c>
      <c r="Q106" s="144">
        <f t="shared" si="17"/>
        <v>141.5646564648087</v>
      </c>
      <c r="S106" s="88"/>
      <c r="T106" s="88"/>
    </row>
    <row r="107" spans="1:20" ht="12.75">
      <c r="A107" s="1007"/>
      <c r="B107" s="30">
        <v>8</v>
      </c>
      <c r="C107" s="158" t="s">
        <v>309</v>
      </c>
      <c r="D107" s="132">
        <v>111</v>
      </c>
      <c r="E107" s="132">
        <v>2008</v>
      </c>
      <c r="F107" s="248">
        <v>82.1999</v>
      </c>
      <c r="G107" s="248">
        <v>16.218</v>
      </c>
      <c r="H107" s="248">
        <v>8.5945</v>
      </c>
      <c r="I107" s="253">
        <f t="shared" si="12"/>
        <v>57.3874</v>
      </c>
      <c r="J107" s="271">
        <v>6276.47</v>
      </c>
      <c r="K107" s="253">
        <f t="shared" si="13"/>
        <v>57.3874</v>
      </c>
      <c r="L107" s="270">
        <f t="shared" si="13"/>
        <v>6276.47</v>
      </c>
      <c r="M107" s="141">
        <f t="shared" si="14"/>
        <v>0.00914326046328589</v>
      </c>
      <c r="N107" s="160">
        <f t="shared" si="18"/>
        <v>268.36</v>
      </c>
      <c r="O107" s="143">
        <f t="shared" si="15"/>
        <v>2.453685377927402</v>
      </c>
      <c r="P107" s="164">
        <f t="shared" si="16"/>
        <v>548.5956277971534</v>
      </c>
      <c r="Q107" s="144">
        <f t="shared" si="17"/>
        <v>147.2211226756441</v>
      </c>
      <c r="S107" s="88"/>
      <c r="T107" s="88"/>
    </row>
    <row r="108" spans="1:20" ht="12.75">
      <c r="A108" s="1007"/>
      <c r="B108" s="30">
        <v>9</v>
      </c>
      <c r="C108" s="158" t="s">
        <v>522</v>
      </c>
      <c r="D108" s="132">
        <v>27</v>
      </c>
      <c r="E108" s="132">
        <v>1930</v>
      </c>
      <c r="F108" s="248">
        <v>32.2199</v>
      </c>
      <c r="G108" s="248">
        <v>2.754</v>
      </c>
      <c r="H108" s="248">
        <v>4.24</v>
      </c>
      <c r="I108" s="253">
        <v>21.871</v>
      </c>
      <c r="J108" s="271">
        <v>2102.97</v>
      </c>
      <c r="K108" s="253">
        <f t="shared" si="13"/>
        <v>21.871</v>
      </c>
      <c r="L108" s="270">
        <f t="shared" si="13"/>
        <v>2102.97</v>
      </c>
      <c r="M108" s="141">
        <f t="shared" si="14"/>
        <v>0.010400053258011289</v>
      </c>
      <c r="N108" s="160">
        <f t="shared" si="18"/>
        <v>268.36</v>
      </c>
      <c r="O108" s="143">
        <f t="shared" si="15"/>
        <v>2.7909582923199094</v>
      </c>
      <c r="P108" s="164">
        <f t="shared" si="16"/>
        <v>624.0031954806773</v>
      </c>
      <c r="Q108" s="144">
        <f t="shared" si="17"/>
        <v>167.45749753919455</v>
      </c>
      <c r="S108" s="88"/>
      <c r="T108" s="88"/>
    </row>
    <row r="109" spans="1:20" ht="12.75" customHeight="1" thickBot="1">
      <c r="A109" s="1008"/>
      <c r="B109" s="63">
        <v>10</v>
      </c>
      <c r="C109" s="161" t="s">
        <v>523</v>
      </c>
      <c r="D109" s="133">
        <v>99</v>
      </c>
      <c r="E109" s="133">
        <v>1979</v>
      </c>
      <c r="F109" s="249">
        <v>81</v>
      </c>
      <c r="G109" s="249">
        <v>12.883</v>
      </c>
      <c r="H109" s="249">
        <v>9.9</v>
      </c>
      <c r="I109" s="556">
        <f t="shared" si="12"/>
        <v>58.217000000000006</v>
      </c>
      <c r="J109" s="272">
        <v>5328.25</v>
      </c>
      <c r="K109" s="556">
        <f t="shared" si="13"/>
        <v>58.217000000000006</v>
      </c>
      <c r="L109" s="559">
        <f t="shared" si="13"/>
        <v>5328.25</v>
      </c>
      <c r="M109" s="174">
        <f t="shared" si="14"/>
        <v>0.010926101440435416</v>
      </c>
      <c r="N109" s="554">
        <v>268.36</v>
      </c>
      <c r="O109" s="175">
        <f t="shared" si="15"/>
        <v>2.9321285825552486</v>
      </c>
      <c r="P109" s="273">
        <f t="shared" si="16"/>
        <v>655.566086426125</v>
      </c>
      <c r="Q109" s="165">
        <f t="shared" si="17"/>
        <v>175.92771495331493</v>
      </c>
      <c r="S109" s="88"/>
      <c r="T109" s="88"/>
    </row>
    <row r="110" spans="1:20" ht="12.75" customHeight="1">
      <c r="A110" s="1009" t="s">
        <v>33</v>
      </c>
      <c r="B110" s="752">
        <v>1</v>
      </c>
      <c r="C110" s="896" t="s">
        <v>524</v>
      </c>
      <c r="D110" s="867">
        <v>72</v>
      </c>
      <c r="E110" s="867">
        <v>1990</v>
      </c>
      <c r="F110" s="712">
        <v>78.34</v>
      </c>
      <c r="G110" s="712">
        <v>11.514</v>
      </c>
      <c r="H110" s="712">
        <v>10.08</v>
      </c>
      <c r="I110" s="712">
        <f t="shared" si="12"/>
        <v>56.74600000000001</v>
      </c>
      <c r="J110" s="713">
        <v>4777.56</v>
      </c>
      <c r="K110" s="712">
        <f t="shared" si="13"/>
        <v>56.74600000000001</v>
      </c>
      <c r="L110" s="713">
        <f t="shared" si="13"/>
        <v>4777.56</v>
      </c>
      <c r="M110" s="868">
        <f>K110/L110</f>
        <v>0.011877611165532197</v>
      </c>
      <c r="N110" s="869">
        <v>268.36</v>
      </c>
      <c r="O110" s="870">
        <f t="shared" si="15"/>
        <v>3.1874757323822207</v>
      </c>
      <c r="P110" s="870">
        <f t="shared" si="16"/>
        <v>712.6566699319318</v>
      </c>
      <c r="Q110" s="871">
        <f t="shared" si="17"/>
        <v>191.24854394293322</v>
      </c>
      <c r="S110" s="88"/>
      <c r="T110" s="88"/>
    </row>
    <row r="111" spans="1:20" ht="12.75">
      <c r="A111" s="1010"/>
      <c r="B111" s="725">
        <v>2</v>
      </c>
      <c r="C111" s="878" t="s">
        <v>525</v>
      </c>
      <c r="D111" s="873">
        <v>45</v>
      </c>
      <c r="E111" s="873">
        <v>1993</v>
      </c>
      <c r="F111" s="711">
        <v>47.4</v>
      </c>
      <c r="G111" s="711">
        <v>4.495</v>
      </c>
      <c r="H111" s="711">
        <v>6.607</v>
      </c>
      <c r="I111" s="744">
        <f t="shared" si="12"/>
        <v>36.298</v>
      </c>
      <c r="J111" s="719">
        <v>2976.86</v>
      </c>
      <c r="K111" s="744">
        <f t="shared" si="13"/>
        <v>36.298</v>
      </c>
      <c r="L111" s="793">
        <f t="shared" si="13"/>
        <v>2976.86</v>
      </c>
      <c r="M111" s="714">
        <f>K111/L111</f>
        <v>0.012193384976115773</v>
      </c>
      <c r="N111" s="715">
        <v>268.36</v>
      </c>
      <c r="O111" s="716">
        <f t="shared" si="15"/>
        <v>3.272216792190429</v>
      </c>
      <c r="P111" s="716">
        <f t="shared" si="16"/>
        <v>731.6030985669464</v>
      </c>
      <c r="Q111" s="717">
        <f t="shared" si="17"/>
        <v>196.33300753142575</v>
      </c>
      <c r="S111" s="88"/>
      <c r="T111" s="88"/>
    </row>
    <row r="112" spans="1:20" ht="12.75">
      <c r="A112" s="1010"/>
      <c r="B112" s="725">
        <v>3</v>
      </c>
      <c r="C112" s="709" t="s">
        <v>402</v>
      </c>
      <c r="D112" s="710">
        <v>60</v>
      </c>
      <c r="E112" s="710">
        <v>1989</v>
      </c>
      <c r="F112" s="711">
        <v>54.3</v>
      </c>
      <c r="G112" s="711">
        <v>4.222</v>
      </c>
      <c r="H112" s="711">
        <v>5.97</v>
      </c>
      <c r="I112" s="744">
        <f t="shared" si="12"/>
        <v>44.108</v>
      </c>
      <c r="J112" s="719">
        <v>3360.8</v>
      </c>
      <c r="K112" s="744">
        <f t="shared" si="13"/>
        <v>44.108</v>
      </c>
      <c r="L112" s="793">
        <f t="shared" si="13"/>
        <v>3360.8</v>
      </c>
      <c r="M112" s="721">
        <f aca="true" t="shared" si="19" ref="M112:M119">K112/L112</f>
        <v>0.013124256129492976</v>
      </c>
      <c r="N112" s="715">
        <v>268.36</v>
      </c>
      <c r="O112" s="716">
        <f t="shared" si="15"/>
        <v>3.522025374910735</v>
      </c>
      <c r="P112" s="716">
        <f t="shared" si="16"/>
        <v>787.4553677695786</v>
      </c>
      <c r="Q112" s="722">
        <f t="shared" si="17"/>
        <v>211.32152249464414</v>
      </c>
      <c r="S112" s="88"/>
      <c r="T112" s="88"/>
    </row>
    <row r="113" spans="1:20" ht="12.75">
      <c r="A113" s="1010"/>
      <c r="B113" s="725">
        <v>4</v>
      </c>
      <c r="C113" s="709" t="s">
        <v>526</v>
      </c>
      <c r="D113" s="710">
        <v>50</v>
      </c>
      <c r="E113" s="710">
        <v>1982</v>
      </c>
      <c r="F113" s="711">
        <v>47.499</v>
      </c>
      <c r="G113" s="711">
        <v>4.147</v>
      </c>
      <c r="H113" s="711">
        <v>4.82</v>
      </c>
      <c r="I113" s="744">
        <f t="shared" si="12"/>
        <v>38.532000000000004</v>
      </c>
      <c r="J113" s="719">
        <v>2574.58</v>
      </c>
      <c r="K113" s="744">
        <f t="shared" si="13"/>
        <v>38.532000000000004</v>
      </c>
      <c r="L113" s="793">
        <f t="shared" si="13"/>
        <v>2574.58</v>
      </c>
      <c r="M113" s="721">
        <f t="shared" si="19"/>
        <v>0.014966324604401497</v>
      </c>
      <c r="N113" s="715">
        <v>268.36</v>
      </c>
      <c r="O113" s="723">
        <f t="shared" si="15"/>
        <v>4.016362870837186</v>
      </c>
      <c r="P113" s="716">
        <f t="shared" si="16"/>
        <v>897.9794762640898</v>
      </c>
      <c r="Q113" s="722">
        <f t="shared" si="17"/>
        <v>240.98177225023116</v>
      </c>
      <c r="S113" s="88"/>
      <c r="T113" s="88"/>
    </row>
    <row r="114" spans="1:20" ht="12.75">
      <c r="A114" s="1010"/>
      <c r="B114" s="725">
        <v>5</v>
      </c>
      <c r="C114" s="709" t="s">
        <v>527</v>
      </c>
      <c r="D114" s="710">
        <v>60</v>
      </c>
      <c r="E114" s="710">
        <v>1980</v>
      </c>
      <c r="F114" s="711">
        <v>56.744</v>
      </c>
      <c r="G114" s="711">
        <v>9.775</v>
      </c>
      <c r="H114" s="711">
        <v>6</v>
      </c>
      <c r="I114" s="744">
        <f t="shared" si="12"/>
        <v>40.969</v>
      </c>
      <c r="J114" s="719">
        <v>2717.9</v>
      </c>
      <c r="K114" s="744">
        <f t="shared" si="13"/>
        <v>40.969</v>
      </c>
      <c r="L114" s="793">
        <f t="shared" si="13"/>
        <v>2717.9</v>
      </c>
      <c r="M114" s="721">
        <f t="shared" si="19"/>
        <v>0.01507377019022039</v>
      </c>
      <c r="N114" s="715">
        <v>268.36</v>
      </c>
      <c r="O114" s="723">
        <f t="shared" si="15"/>
        <v>4.045196968247544</v>
      </c>
      <c r="P114" s="716">
        <f t="shared" si="16"/>
        <v>904.4262114132234</v>
      </c>
      <c r="Q114" s="722">
        <f t="shared" si="17"/>
        <v>242.71181809485265</v>
      </c>
      <c r="S114" s="88"/>
      <c r="T114" s="88"/>
    </row>
    <row r="115" spans="1:20" ht="12.75">
      <c r="A115" s="1010"/>
      <c r="B115" s="725">
        <v>6</v>
      </c>
      <c r="C115" s="709" t="s">
        <v>528</v>
      </c>
      <c r="D115" s="710">
        <v>75</v>
      </c>
      <c r="E115" s="710">
        <v>2006</v>
      </c>
      <c r="F115" s="711">
        <v>96.69</v>
      </c>
      <c r="G115" s="711">
        <v>11.696</v>
      </c>
      <c r="H115" s="711">
        <v>6</v>
      </c>
      <c r="I115" s="744">
        <f t="shared" si="12"/>
        <v>78.994</v>
      </c>
      <c r="J115" s="719">
        <v>5183.12</v>
      </c>
      <c r="K115" s="744">
        <f t="shared" si="13"/>
        <v>78.994</v>
      </c>
      <c r="L115" s="793">
        <f t="shared" si="13"/>
        <v>5183.12</v>
      </c>
      <c r="M115" s="721">
        <f t="shared" si="19"/>
        <v>0.015240627266974333</v>
      </c>
      <c r="N115" s="715">
        <v>268.36</v>
      </c>
      <c r="O115" s="723">
        <f t="shared" si="15"/>
        <v>4.089974733365232</v>
      </c>
      <c r="P115" s="716">
        <f t="shared" si="16"/>
        <v>914.4376360184599</v>
      </c>
      <c r="Q115" s="722">
        <f t="shared" si="17"/>
        <v>245.3984840019139</v>
      </c>
      <c r="S115" s="88"/>
      <c r="T115" s="88"/>
    </row>
    <row r="116" spans="1:20" ht="12.75">
      <c r="A116" s="1010"/>
      <c r="B116" s="725">
        <v>7</v>
      </c>
      <c r="C116" s="709" t="s">
        <v>529</v>
      </c>
      <c r="D116" s="710">
        <v>121</v>
      </c>
      <c r="E116" s="710">
        <v>1992</v>
      </c>
      <c r="F116" s="711">
        <v>166.4</v>
      </c>
      <c r="G116" s="711">
        <v>23.652</v>
      </c>
      <c r="H116" s="711">
        <v>16.66</v>
      </c>
      <c r="I116" s="744">
        <f t="shared" si="12"/>
        <v>126.088</v>
      </c>
      <c r="J116" s="719">
        <v>7953</v>
      </c>
      <c r="K116" s="744">
        <f t="shared" si="13"/>
        <v>126.088</v>
      </c>
      <c r="L116" s="793">
        <f t="shared" si="13"/>
        <v>7953</v>
      </c>
      <c r="M116" s="721">
        <f t="shared" si="19"/>
        <v>0.01585414309065761</v>
      </c>
      <c r="N116" s="715">
        <v>268.36</v>
      </c>
      <c r="O116" s="723">
        <f t="shared" si="15"/>
        <v>4.254617839808876</v>
      </c>
      <c r="P116" s="716">
        <f t="shared" si="16"/>
        <v>951.2485854394566</v>
      </c>
      <c r="Q116" s="722">
        <f t="shared" si="17"/>
        <v>255.2770703885326</v>
      </c>
      <c r="S116" s="88"/>
      <c r="T116" s="88"/>
    </row>
    <row r="117" spans="1:20" ht="12.75">
      <c r="A117" s="1010"/>
      <c r="B117" s="725">
        <v>8</v>
      </c>
      <c r="C117" s="709" t="s">
        <v>530</v>
      </c>
      <c r="D117" s="710">
        <v>61</v>
      </c>
      <c r="E117" s="710">
        <v>1986</v>
      </c>
      <c r="F117" s="711">
        <v>52</v>
      </c>
      <c r="G117" s="711">
        <v>7.694</v>
      </c>
      <c r="H117" s="711">
        <v>6.07</v>
      </c>
      <c r="I117" s="744">
        <f t="shared" si="12"/>
        <v>38.236</v>
      </c>
      <c r="J117" s="719">
        <v>2367.56</v>
      </c>
      <c r="K117" s="744">
        <f t="shared" si="13"/>
        <v>38.236</v>
      </c>
      <c r="L117" s="793">
        <f t="shared" si="13"/>
        <v>2367.56</v>
      </c>
      <c r="M117" s="721">
        <f t="shared" si="19"/>
        <v>0.016149960296676747</v>
      </c>
      <c r="N117" s="715">
        <v>268.36</v>
      </c>
      <c r="O117" s="723">
        <f t="shared" si="15"/>
        <v>4.334003345216172</v>
      </c>
      <c r="P117" s="716">
        <f t="shared" si="16"/>
        <v>968.9976178006048</v>
      </c>
      <c r="Q117" s="722">
        <f t="shared" si="17"/>
        <v>260.0402007129703</v>
      </c>
      <c r="S117" s="88"/>
      <c r="T117" s="88"/>
    </row>
    <row r="118" spans="1:20" ht="12.75">
      <c r="A118" s="1010"/>
      <c r="B118" s="743">
        <v>9</v>
      </c>
      <c r="C118" s="709" t="s">
        <v>531</v>
      </c>
      <c r="D118" s="710">
        <v>30</v>
      </c>
      <c r="E118" s="710">
        <v>1986</v>
      </c>
      <c r="F118" s="711">
        <v>44</v>
      </c>
      <c r="G118" s="711">
        <v>6.085</v>
      </c>
      <c r="H118" s="711">
        <v>4.2</v>
      </c>
      <c r="I118" s="744">
        <f t="shared" si="12"/>
        <v>33.714999999999996</v>
      </c>
      <c r="J118" s="719">
        <v>1990.25</v>
      </c>
      <c r="K118" s="744">
        <f t="shared" si="13"/>
        <v>33.714999999999996</v>
      </c>
      <c r="L118" s="793">
        <f t="shared" si="13"/>
        <v>1990.25</v>
      </c>
      <c r="M118" s="721">
        <f t="shared" si="19"/>
        <v>0.016940082904157768</v>
      </c>
      <c r="N118" s="715">
        <v>268.36</v>
      </c>
      <c r="O118" s="723">
        <f t="shared" si="15"/>
        <v>4.546040648159779</v>
      </c>
      <c r="P118" s="716">
        <f t="shared" si="16"/>
        <v>1016.404974249466</v>
      </c>
      <c r="Q118" s="722">
        <f t="shared" si="17"/>
        <v>272.7624388895867</v>
      </c>
      <c r="S118" s="88"/>
      <c r="T118" s="88"/>
    </row>
    <row r="119" spans="1:20" ht="13.5" thickBot="1">
      <c r="A119" s="1011"/>
      <c r="B119" s="734">
        <v>10</v>
      </c>
      <c r="C119" s="745" t="s">
        <v>532</v>
      </c>
      <c r="D119" s="746">
        <v>100</v>
      </c>
      <c r="E119" s="746">
        <v>1981</v>
      </c>
      <c r="F119" s="747">
        <v>90.852</v>
      </c>
      <c r="G119" s="747">
        <v>15.137</v>
      </c>
      <c r="H119" s="747">
        <v>10</v>
      </c>
      <c r="I119" s="876">
        <f t="shared" si="12"/>
        <v>65.715</v>
      </c>
      <c r="J119" s="748">
        <v>3691.27</v>
      </c>
      <c r="K119" s="876">
        <f t="shared" si="13"/>
        <v>65.715</v>
      </c>
      <c r="L119" s="897">
        <f t="shared" si="13"/>
        <v>3691.27</v>
      </c>
      <c r="M119" s="749">
        <f t="shared" si="19"/>
        <v>0.017802815833033076</v>
      </c>
      <c r="N119" s="882">
        <v>268.358</v>
      </c>
      <c r="O119" s="750">
        <f t="shared" si="15"/>
        <v>4.777528051321091</v>
      </c>
      <c r="P119" s="750">
        <f t="shared" si="16"/>
        <v>1068.1689499819847</v>
      </c>
      <c r="Q119" s="751">
        <f t="shared" si="17"/>
        <v>286.65168307926547</v>
      </c>
      <c r="S119" s="88"/>
      <c r="T119" s="88"/>
    </row>
    <row r="120" spans="1:20" ht="12.75">
      <c r="A120" s="1012" t="s">
        <v>46</v>
      </c>
      <c r="B120" s="32">
        <v>1</v>
      </c>
      <c r="C120" s="215" t="s">
        <v>533</v>
      </c>
      <c r="D120" s="217">
        <v>40</v>
      </c>
      <c r="E120" s="217">
        <v>1965</v>
      </c>
      <c r="F120" s="313">
        <v>42.654</v>
      </c>
      <c r="G120" s="313">
        <v>5.129</v>
      </c>
      <c r="H120" s="313">
        <v>0.4</v>
      </c>
      <c r="I120" s="313">
        <f t="shared" si="12"/>
        <v>37.12500000000001</v>
      </c>
      <c r="J120" s="276">
        <v>1785.92</v>
      </c>
      <c r="K120" s="313">
        <f t="shared" si="13"/>
        <v>37.12500000000001</v>
      </c>
      <c r="L120" s="276">
        <f t="shared" si="13"/>
        <v>1785.92</v>
      </c>
      <c r="M120" s="317">
        <f>K120/L120</f>
        <v>0.020787605267873144</v>
      </c>
      <c r="N120" s="145">
        <v>268.36</v>
      </c>
      <c r="O120" s="318">
        <f>M120*N120</f>
        <v>5.578561749686437</v>
      </c>
      <c r="P120" s="318">
        <f>M120*60*1000</f>
        <v>1247.2563160723887</v>
      </c>
      <c r="Q120" s="319">
        <f>P120*N120/1000</f>
        <v>334.71370498118625</v>
      </c>
      <c r="S120" s="88"/>
      <c r="T120" s="88"/>
    </row>
    <row r="121" spans="1:20" ht="12.75" customHeight="1">
      <c r="A121" s="1013"/>
      <c r="B121" s="34">
        <v>2</v>
      </c>
      <c r="C121" s="205" t="s">
        <v>403</v>
      </c>
      <c r="D121" s="135">
        <v>40</v>
      </c>
      <c r="E121" s="135">
        <v>1960</v>
      </c>
      <c r="F121" s="222">
        <v>37.376</v>
      </c>
      <c r="G121" s="222">
        <v>5.2709</v>
      </c>
      <c r="H121" s="222">
        <v>0.4</v>
      </c>
      <c r="I121" s="388">
        <f t="shared" si="12"/>
        <v>31.7051</v>
      </c>
      <c r="J121" s="277">
        <v>1518.27</v>
      </c>
      <c r="K121" s="388">
        <f t="shared" si="13"/>
        <v>31.7051</v>
      </c>
      <c r="L121" s="390">
        <f t="shared" si="13"/>
        <v>1518.27</v>
      </c>
      <c r="M121" s="146">
        <f aca="true" t="shared" si="20" ref="M121:M129">K121/L121</f>
        <v>0.02088238587339538</v>
      </c>
      <c r="N121" s="220">
        <v>268.36</v>
      </c>
      <c r="O121" s="148">
        <f aca="true" t="shared" si="21" ref="O121:O129">M121*N121</f>
        <v>5.603997072984384</v>
      </c>
      <c r="P121" s="208">
        <f aca="true" t="shared" si="22" ref="P121:P129">M121*60*1000</f>
        <v>1252.943152403723</v>
      </c>
      <c r="Q121" s="149">
        <f aca="true" t="shared" si="23" ref="Q121:Q129">P121*N121/1000</f>
        <v>336.2398243790631</v>
      </c>
      <c r="S121" s="88"/>
      <c r="T121" s="88"/>
    </row>
    <row r="122" spans="1:20" ht="12.75" customHeight="1">
      <c r="A122" s="1013"/>
      <c r="B122" s="34">
        <v>3</v>
      </c>
      <c r="C122" s="205" t="s">
        <v>534</v>
      </c>
      <c r="D122" s="135">
        <v>7</v>
      </c>
      <c r="E122" s="135">
        <v>1920</v>
      </c>
      <c r="F122" s="222">
        <v>5.282</v>
      </c>
      <c r="G122" s="222">
        <v>0.153</v>
      </c>
      <c r="H122" s="222">
        <v>0.03</v>
      </c>
      <c r="I122" s="388">
        <f t="shared" si="12"/>
        <v>5.099</v>
      </c>
      <c r="J122" s="277">
        <v>239.05</v>
      </c>
      <c r="K122" s="388">
        <f t="shared" si="13"/>
        <v>5.099</v>
      </c>
      <c r="L122" s="390">
        <f t="shared" si="13"/>
        <v>239.05</v>
      </c>
      <c r="M122" s="146">
        <f t="shared" si="20"/>
        <v>0.021330265634804436</v>
      </c>
      <c r="N122" s="220">
        <v>268.36</v>
      </c>
      <c r="O122" s="148">
        <f t="shared" si="21"/>
        <v>5.724190085756119</v>
      </c>
      <c r="P122" s="208">
        <f t="shared" si="22"/>
        <v>1279.8159380882662</v>
      </c>
      <c r="Q122" s="149">
        <f t="shared" si="23"/>
        <v>343.4514051453671</v>
      </c>
      <c r="S122" s="88"/>
      <c r="T122" s="88"/>
    </row>
    <row r="123" spans="1:20" ht="12.75" customHeight="1">
      <c r="A123" s="1013"/>
      <c r="B123" s="34">
        <v>4</v>
      </c>
      <c r="C123" s="205" t="s">
        <v>535</v>
      </c>
      <c r="D123" s="135">
        <v>90</v>
      </c>
      <c r="E123" s="135">
        <v>1967</v>
      </c>
      <c r="F123" s="222">
        <v>99.184</v>
      </c>
      <c r="G123" s="222">
        <v>8.338</v>
      </c>
      <c r="H123" s="222">
        <v>8.97</v>
      </c>
      <c r="I123" s="388">
        <f t="shared" si="12"/>
        <v>81.876</v>
      </c>
      <c r="J123" s="277">
        <v>3790.57</v>
      </c>
      <c r="K123" s="388">
        <f t="shared" si="13"/>
        <v>81.876</v>
      </c>
      <c r="L123" s="390">
        <f t="shared" si="13"/>
        <v>3790.57</v>
      </c>
      <c r="M123" s="146">
        <f t="shared" si="20"/>
        <v>0.021599917690479267</v>
      </c>
      <c r="N123" s="220">
        <v>268.36</v>
      </c>
      <c r="O123" s="148">
        <f t="shared" si="21"/>
        <v>5.796553911417017</v>
      </c>
      <c r="P123" s="208">
        <f t="shared" si="22"/>
        <v>1295.9950614287561</v>
      </c>
      <c r="Q123" s="149">
        <f t="shared" si="23"/>
        <v>347.793234685021</v>
      </c>
      <c r="S123" s="88"/>
      <c r="T123" s="88"/>
    </row>
    <row r="124" spans="1:20" ht="12.75" customHeight="1">
      <c r="A124" s="1013"/>
      <c r="B124" s="34">
        <v>5</v>
      </c>
      <c r="C124" s="205" t="s">
        <v>536</v>
      </c>
      <c r="D124" s="135">
        <v>23</v>
      </c>
      <c r="E124" s="135">
        <v>1963</v>
      </c>
      <c r="F124" s="222">
        <v>21.105</v>
      </c>
      <c r="G124" s="222">
        <v>1.58</v>
      </c>
      <c r="H124" s="222">
        <v>1.996</v>
      </c>
      <c r="I124" s="388">
        <f t="shared" si="12"/>
        <v>17.529</v>
      </c>
      <c r="J124" s="277">
        <v>780.7</v>
      </c>
      <c r="K124" s="388">
        <f t="shared" si="13"/>
        <v>17.529</v>
      </c>
      <c r="L124" s="390">
        <f t="shared" si="13"/>
        <v>780.7</v>
      </c>
      <c r="M124" s="146">
        <f t="shared" si="20"/>
        <v>0.022452926860509797</v>
      </c>
      <c r="N124" s="220">
        <v>268.36</v>
      </c>
      <c r="O124" s="148">
        <f t="shared" si="21"/>
        <v>6.025467452286409</v>
      </c>
      <c r="P124" s="208">
        <f t="shared" si="22"/>
        <v>1347.1756116305878</v>
      </c>
      <c r="Q124" s="149">
        <f t="shared" si="23"/>
        <v>361.52804713718456</v>
      </c>
      <c r="S124" s="88"/>
      <c r="T124" s="88"/>
    </row>
    <row r="125" spans="1:20" ht="12.75" customHeight="1">
      <c r="A125" s="1013"/>
      <c r="B125" s="34">
        <v>6</v>
      </c>
      <c r="C125" s="205" t="s">
        <v>537</v>
      </c>
      <c r="D125" s="135">
        <v>5</v>
      </c>
      <c r="E125" s="135">
        <v>1934</v>
      </c>
      <c r="F125" s="222">
        <v>6.748</v>
      </c>
      <c r="G125" s="222">
        <v>0.8239</v>
      </c>
      <c r="H125" s="222">
        <v>0.05</v>
      </c>
      <c r="I125" s="388">
        <f t="shared" si="12"/>
        <v>5.8741</v>
      </c>
      <c r="J125" s="277">
        <v>237.04</v>
      </c>
      <c r="K125" s="388">
        <f t="shared" si="13"/>
        <v>5.8741</v>
      </c>
      <c r="L125" s="390">
        <f t="shared" si="13"/>
        <v>237.04</v>
      </c>
      <c r="M125" s="146">
        <f t="shared" si="20"/>
        <v>0.024781049611879855</v>
      </c>
      <c r="N125" s="220">
        <v>268.36</v>
      </c>
      <c r="O125" s="148">
        <f t="shared" si="21"/>
        <v>6.650242473844078</v>
      </c>
      <c r="P125" s="208">
        <f t="shared" si="22"/>
        <v>1486.8629767127911</v>
      </c>
      <c r="Q125" s="149">
        <f t="shared" si="23"/>
        <v>399.01454843064465</v>
      </c>
      <c r="S125" s="88"/>
      <c r="T125" s="88"/>
    </row>
    <row r="126" spans="1:20" ht="13.5" customHeight="1">
      <c r="A126" s="1013"/>
      <c r="B126" s="34">
        <v>7</v>
      </c>
      <c r="C126" s="205" t="s">
        <v>538</v>
      </c>
      <c r="D126" s="135">
        <v>104</v>
      </c>
      <c r="E126" s="135">
        <v>1965</v>
      </c>
      <c r="F126" s="222">
        <v>82.239</v>
      </c>
      <c r="G126" s="222">
        <v>10.933</v>
      </c>
      <c r="H126" s="222">
        <v>9.93</v>
      </c>
      <c r="I126" s="388">
        <f t="shared" si="12"/>
        <v>61.37600000000001</v>
      </c>
      <c r="J126" s="277">
        <v>2602.56</v>
      </c>
      <c r="K126" s="388">
        <f t="shared" si="13"/>
        <v>61.37600000000001</v>
      </c>
      <c r="L126" s="390">
        <f t="shared" si="13"/>
        <v>2602.56</v>
      </c>
      <c r="M126" s="146">
        <f t="shared" si="20"/>
        <v>0.023582933726792085</v>
      </c>
      <c r="N126" s="220">
        <v>268.36</v>
      </c>
      <c r="O126" s="148">
        <f t="shared" si="21"/>
        <v>6.3287160949219246</v>
      </c>
      <c r="P126" s="208">
        <f t="shared" si="22"/>
        <v>1414.9760236075251</v>
      </c>
      <c r="Q126" s="149">
        <f t="shared" si="23"/>
        <v>379.72296569531545</v>
      </c>
      <c r="S126" s="88"/>
      <c r="T126" s="88"/>
    </row>
    <row r="127" spans="1:20" ht="12.75" customHeight="1">
      <c r="A127" s="1013"/>
      <c r="B127" s="82">
        <v>8</v>
      </c>
      <c r="C127" s="205" t="s">
        <v>539</v>
      </c>
      <c r="D127" s="135">
        <v>60</v>
      </c>
      <c r="E127" s="135">
        <v>1964</v>
      </c>
      <c r="F127" s="222">
        <v>64.888</v>
      </c>
      <c r="G127" s="222">
        <v>5.722</v>
      </c>
      <c r="H127" s="222">
        <v>0.6</v>
      </c>
      <c r="I127" s="388">
        <f t="shared" si="12"/>
        <v>58.566</v>
      </c>
      <c r="J127" s="277">
        <v>2418.72</v>
      </c>
      <c r="K127" s="388">
        <f t="shared" si="13"/>
        <v>58.566</v>
      </c>
      <c r="L127" s="390">
        <f t="shared" si="13"/>
        <v>2418.72</v>
      </c>
      <c r="M127" s="146">
        <f t="shared" si="20"/>
        <v>0.024213633657471725</v>
      </c>
      <c r="N127" s="220">
        <v>268.36</v>
      </c>
      <c r="O127" s="148">
        <f t="shared" si="21"/>
        <v>6.497970728319112</v>
      </c>
      <c r="P127" s="208">
        <f t="shared" si="22"/>
        <v>1452.8180194483036</v>
      </c>
      <c r="Q127" s="149">
        <f t="shared" si="23"/>
        <v>389.87824369914676</v>
      </c>
      <c r="S127" s="88"/>
      <c r="T127" s="88"/>
    </row>
    <row r="128" spans="1:20" ht="12.75" customHeight="1">
      <c r="A128" s="1013"/>
      <c r="B128" s="34">
        <v>9</v>
      </c>
      <c r="C128" s="205" t="s">
        <v>540</v>
      </c>
      <c r="D128" s="135">
        <v>103</v>
      </c>
      <c r="E128" s="135">
        <v>1995</v>
      </c>
      <c r="F128" s="222">
        <v>122.418</v>
      </c>
      <c r="G128" s="222">
        <v>11.581</v>
      </c>
      <c r="H128" s="222">
        <v>14.42</v>
      </c>
      <c r="I128" s="388">
        <f t="shared" si="12"/>
        <v>96.417</v>
      </c>
      <c r="J128" s="277">
        <v>3861.68</v>
      </c>
      <c r="K128" s="388">
        <f t="shared" si="13"/>
        <v>96.417</v>
      </c>
      <c r="L128" s="390">
        <f t="shared" si="13"/>
        <v>3861.68</v>
      </c>
      <c r="M128" s="146">
        <f t="shared" si="20"/>
        <v>0.02496763066851733</v>
      </c>
      <c r="N128" s="220">
        <v>268.36</v>
      </c>
      <c r="O128" s="148">
        <f t="shared" si="21"/>
        <v>6.700313366203311</v>
      </c>
      <c r="P128" s="208">
        <f t="shared" si="22"/>
        <v>1498.05784011104</v>
      </c>
      <c r="Q128" s="149">
        <f t="shared" si="23"/>
        <v>402.01880197219873</v>
      </c>
      <c r="S128" s="88"/>
      <c r="T128" s="88"/>
    </row>
    <row r="129" spans="1:20" ht="12.75" customHeight="1" thickBot="1">
      <c r="A129" s="1014"/>
      <c r="B129" s="36">
        <v>10</v>
      </c>
      <c r="C129" s="216" t="s">
        <v>541</v>
      </c>
      <c r="D129" s="136">
        <v>31</v>
      </c>
      <c r="E129" s="136">
        <v>1985</v>
      </c>
      <c r="F129" s="312">
        <v>47.1</v>
      </c>
      <c r="G129" s="312">
        <v>2.393</v>
      </c>
      <c r="H129" s="312">
        <v>2.6</v>
      </c>
      <c r="I129" s="419">
        <f t="shared" si="12"/>
        <v>42.107</v>
      </c>
      <c r="J129" s="278">
        <v>1669.02</v>
      </c>
      <c r="K129" s="419">
        <f t="shared" si="13"/>
        <v>42.107</v>
      </c>
      <c r="L129" s="418">
        <f t="shared" si="13"/>
        <v>1669.02</v>
      </c>
      <c r="M129" s="211">
        <f t="shared" si="20"/>
        <v>0.02522857724892452</v>
      </c>
      <c r="N129" s="370">
        <v>268.36</v>
      </c>
      <c r="O129" s="212">
        <f t="shared" si="21"/>
        <v>6.770340990521384</v>
      </c>
      <c r="P129" s="212">
        <f t="shared" si="22"/>
        <v>1513.7146349354712</v>
      </c>
      <c r="Q129" s="213">
        <f t="shared" si="23"/>
        <v>406.2204594312831</v>
      </c>
      <c r="S129" s="88"/>
      <c r="T129" s="88"/>
    </row>
    <row r="130" spans="1:20" ht="12.75">
      <c r="A130" s="1016" t="s">
        <v>51</v>
      </c>
      <c r="B130" s="39">
        <v>1</v>
      </c>
      <c r="C130" s="166" t="s">
        <v>542</v>
      </c>
      <c r="D130" s="167">
        <v>7</v>
      </c>
      <c r="E130" s="167">
        <v>1936</v>
      </c>
      <c r="F130" s="250">
        <v>10.559</v>
      </c>
      <c r="G130" s="250">
        <v>0.577</v>
      </c>
      <c r="H130" s="250">
        <v>0.07</v>
      </c>
      <c r="I130" s="250">
        <f t="shared" si="12"/>
        <v>9.911999999999999</v>
      </c>
      <c r="J130" s="274">
        <v>386.21</v>
      </c>
      <c r="K130" s="250">
        <f t="shared" si="13"/>
        <v>9.911999999999999</v>
      </c>
      <c r="L130" s="274">
        <f t="shared" si="13"/>
        <v>386.21</v>
      </c>
      <c r="M130" s="320">
        <f>K130/L130</f>
        <v>0.0256647937650501</v>
      </c>
      <c r="N130" s="256">
        <v>268.3</v>
      </c>
      <c r="O130" s="321">
        <f>M130*N130</f>
        <v>6.885864167162943</v>
      </c>
      <c r="P130" s="321">
        <f>M130*60*1000</f>
        <v>1539.8876259030062</v>
      </c>
      <c r="Q130" s="322">
        <f>P130*N130/1000</f>
        <v>413.1518500297766</v>
      </c>
      <c r="S130" s="88"/>
      <c r="T130" s="88"/>
    </row>
    <row r="131" spans="1:20" ht="12.75" customHeight="1">
      <c r="A131" s="1017"/>
      <c r="B131" s="41">
        <v>2</v>
      </c>
      <c r="C131" s="169" t="s">
        <v>404</v>
      </c>
      <c r="D131" s="137">
        <v>8</v>
      </c>
      <c r="E131" s="137">
        <v>1937</v>
      </c>
      <c r="F131" s="218">
        <v>11.676</v>
      </c>
      <c r="G131" s="218">
        <v>2.889</v>
      </c>
      <c r="H131" s="218">
        <v>0.06</v>
      </c>
      <c r="I131" s="389">
        <f t="shared" si="12"/>
        <v>8.727</v>
      </c>
      <c r="J131" s="275">
        <v>330.2</v>
      </c>
      <c r="K131" s="389">
        <f t="shared" si="13"/>
        <v>8.727</v>
      </c>
      <c r="L131" s="391">
        <f t="shared" si="13"/>
        <v>330.2</v>
      </c>
      <c r="M131" s="150">
        <f aca="true" t="shared" si="24" ref="M131:M139">K131/L131</f>
        <v>0.02642943670502726</v>
      </c>
      <c r="N131" s="168">
        <v>268.36</v>
      </c>
      <c r="O131" s="152">
        <f>M131*N131</f>
        <v>7.092603634161116</v>
      </c>
      <c r="P131" s="171">
        <f aca="true" t="shared" si="25" ref="P131:P139">M131*60*1000</f>
        <v>1585.7662023016355</v>
      </c>
      <c r="Q131" s="153">
        <f>P131*N131/1000</f>
        <v>425.55621804966694</v>
      </c>
      <c r="S131" s="88"/>
      <c r="T131" s="88"/>
    </row>
    <row r="132" spans="1:20" ht="12.75" customHeight="1">
      <c r="A132" s="1017"/>
      <c r="B132" s="41">
        <v>3</v>
      </c>
      <c r="C132" s="169" t="s">
        <v>543</v>
      </c>
      <c r="D132" s="137">
        <v>33</v>
      </c>
      <c r="E132" s="137">
        <v>1959</v>
      </c>
      <c r="F132" s="218">
        <v>38.551</v>
      </c>
      <c r="G132" s="218">
        <v>3.802</v>
      </c>
      <c r="H132" s="218">
        <v>0.32</v>
      </c>
      <c r="I132" s="389">
        <f t="shared" si="12"/>
        <v>34.429</v>
      </c>
      <c r="J132" s="275">
        <v>1257.02</v>
      </c>
      <c r="K132" s="389">
        <f t="shared" si="13"/>
        <v>34.429</v>
      </c>
      <c r="L132" s="391">
        <f t="shared" si="13"/>
        <v>1257.02</v>
      </c>
      <c r="M132" s="150">
        <f t="shared" si="24"/>
        <v>0.02738938123498433</v>
      </c>
      <c r="N132" s="168">
        <v>268.36</v>
      </c>
      <c r="O132" s="152">
        <f aca="true" t="shared" si="26" ref="O132:O139">M132*N132</f>
        <v>7.350214348220396</v>
      </c>
      <c r="P132" s="171">
        <f t="shared" si="25"/>
        <v>1643.3628740990598</v>
      </c>
      <c r="Q132" s="153">
        <f aca="true" t="shared" si="27" ref="Q132:Q139">P132*N132/1000</f>
        <v>441.0128608932237</v>
      </c>
      <c r="S132" s="88"/>
      <c r="T132" s="88"/>
    </row>
    <row r="133" spans="1:20" ht="12.75" customHeight="1">
      <c r="A133" s="1017"/>
      <c r="B133" s="41">
        <v>4</v>
      </c>
      <c r="C133" s="169" t="s">
        <v>544</v>
      </c>
      <c r="D133" s="137">
        <v>8</v>
      </c>
      <c r="E133" s="137">
        <v>1910</v>
      </c>
      <c r="F133" s="218">
        <v>9.283</v>
      </c>
      <c r="G133" s="218">
        <v>0.0841</v>
      </c>
      <c r="H133" s="218">
        <v>0.08</v>
      </c>
      <c r="I133" s="389">
        <v>7.481</v>
      </c>
      <c r="J133" s="275">
        <v>259.74</v>
      </c>
      <c r="K133" s="389">
        <f t="shared" si="13"/>
        <v>7.481</v>
      </c>
      <c r="L133" s="391">
        <f t="shared" si="13"/>
        <v>259.74</v>
      </c>
      <c r="M133" s="150">
        <f t="shared" si="24"/>
        <v>0.0288018788018788</v>
      </c>
      <c r="N133" s="168">
        <v>268.36</v>
      </c>
      <c r="O133" s="152">
        <f t="shared" si="26"/>
        <v>7.729272195272195</v>
      </c>
      <c r="P133" s="171">
        <f t="shared" si="25"/>
        <v>1728.112728112728</v>
      </c>
      <c r="Q133" s="153">
        <f t="shared" si="27"/>
        <v>463.7563317163317</v>
      </c>
      <c r="S133" s="88"/>
      <c r="T133" s="88"/>
    </row>
    <row r="134" spans="1:20" ht="12.75" customHeight="1">
      <c r="A134" s="1017"/>
      <c r="B134" s="41">
        <v>5</v>
      </c>
      <c r="C134" s="169" t="s">
        <v>406</v>
      </c>
      <c r="D134" s="137">
        <v>9</v>
      </c>
      <c r="E134" s="137">
        <v>1955</v>
      </c>
      <c r="F134" s="218">
        <v>16.192</v>
      </c>
      <c r="G134" s="218">
        <v>1.0397</v>
      </c>
      <c r="H134" s="218">
        <v>0.08</v>
      </c>
      <c r="I134" s="389">
        <f t="shared" si="12"/>
        <v>15.0723</v>
      </c>
      <c r="J134" s="275">
        <v>502.13</v>
      </c>
      <c r="K134" s="389">
        <f t="shared" si="13"/>
        <v>15.0723</v>
      </c>
      <c r="L134" s="391">
        <f t="shared" si="13"/>
        <v>502.13</v>
      </c>
      <c r="M134" s="150">
        <f t="shared" si="24"/>
        <v>0.030016728735586404</v>
      </c>
      <c r="N134" s="168">
        <v>268.36</v>
      </c>
      <c r="O134" s="152">
        <f>M134*N134</f>
        <v>8.055289323481968</v>
      </c>
      <c r="P134" s="171">
        <f t="shared" si="25"/>
        <v>1801.0037241351843</v>
      </c>
      <c r="Q134" s="153">
        <f>P134*N134/1000</f>
        <v>483.3173594089181</v>
      </c>
      <c r="S134" s="88"/>
      <c r="T134" s="88"/>
    </row>
    <row r="135" spans="1:20" ht="12.75" customHeight="1">
      <c r="A135" s="1017"/>
      <c r="B135" s="41">
        <v>6</v>
      </c>
      <c r="C135" s="169" t="s">
        <v>405</v>
      </c>
      <c r="D135" s="137">
        <v>24</v>
      </c>
      <c r="E135" s="137">
        <v>1961</v>
      </c>
      <c r="F135" s="218">
        <v>29.159</v>
      </c>
      <c r="G135" s="218">
        <v>2.198</v>
      </c>
      <c r="H135" s="218">
        <v>0.4</v>
      </c>
      <c r="I135" s="389">
        <f t="shared" si="12"/>
        <v>26.561</v>
      </c>
      <c r="J135" s="275">
        <v>910.23</v>
      </c>
      <c r="K135" s="389">
        <f t="shared" si="13"/>
        <v>26.561</v>
      </c>
      <c r="L135" s="391">
        <f t="shared" si="13"/>
        <v>910.23</v>
      </c>
      <c r="M135" s="150">
        <f t="shared" si="24"/>
        <v>0.02918053678740538</v>
      </c>
      <c r="N135" s="168">
        <v>268.36</v>
      </c>
      <c r="O135" s="152">
        <f t="shared" si="26"/>
        <v>7.830888852268108</v>
      </c>
      <c r="P135" s="171">
        <f t="shared" si="25"/>
        <v>1750.8322072443227</v>
      </c>
      <c r="Q135" s="153">
        <f t="shared" si="27"/>
        <v>469.85333113608647</v>
      </c>
      <c r="S135" s="88"/>
      <c r="T135" s="88"/>
    </row>
    <row r="136" spans="1:20" ht="12.75" customHeight="1">
      <c r="A136" s="1017"/>
      <c r="B136" s="41">
        <v>7</v>
      </c>
      <c r="C136" s="169" t="s">
        <v>545</v>
      </c>
      <c r="D136" s="137">
        <v>18</v>
      </c>
      <c r="E136" s="137">
        <v>1959</v>
      </c>
      <c r="F136" s="218">
        <v>31.92</v>
      </c>
      <c r="G136" s="218">
        <v>2.135</v>
      </c>
      <c r="H136" s="218">
        <v>0.18</v>
      </c>
      <c r="I136" s="389">
        <f t="shared" si="12"/>
        <v>29.605000000000004</v>
      </c>
      <c r="J136" s="275">
        <v>989.2</v>
      </c>
      <c r="K136" s="389">
        <f t="shared" si="13"/>
        <v>29.605000000000004</v>
      </c>
      <c r="L136" s="391">
        <f t="shared" si="13"/>
        <v>989.2</v>
      </c>
      <c r="M136" s="150">
        <f t="shared" si="24"/>
        <v>0.029928224828143956</v>
      </c>
      <c r="N136" s="168">
        <v>268.36</v>
      </c>
      <c r="O136" s="152">
        <f t="shared" si="26"/>
        <v>8.031538414880712</v>
      </c>
      <c r="P136" s="171">
        <f t="shared" si="25"/>
        <v>1795.6934896886373</v>
      </c>
      <c r="Q136" s="153">
        <f t="shared" si="27"/>
        <v>481.89230489284273</v>
      </c>
      <c r="S136" s="88"/>
      <c r="T136" s="88"/>
    </row>
    <row r="137" spans="1:20" ht="13.5" customHeight="1">
      <c r="A137" s="1017"/>
      <c r="B137" s="89">
        <v>8</v>
      </c>
      <c r="C137" s="169" t="s">
        <v>546</v>
      </c>
      <c r="D137" s="137">
        <v>5</v>
      </c>
      <c r="E137" s="137">
        <v>1984</v>
      </c>
      <c r="F137" s="218">
        <v>10.379</v>
      </c>
      <c r="G137" s="218">
        <v>1.07</v>
      </c>
      <c r="H137" s="218">
        <v>0.41</v>
      </c>
      <c r="I137" s="389">
        <v>8.45</v>
      </c>
      <c r="J137" s="275">
        <v>275.51</v>
      </c>
      <c r="K137" s="389">
        <f t="shared" si="13"/>
        <v>8.45</v>
      </c>
      <c r="L137" s="391">
        <f t="shared" si="13"/>
        <v>275.51</v>
      </c>
      <c r="M137" s="150">
        <f t="shared" si="24"/>
        <v>0.030670393089180063</v>
      </c>
      <c r="N137" s="168">
        <v>268.36</v>
      </c>
      <c r="O137" s="152">
        <f t="shared" si="26"/>
        <v>8.230706689412361</v>
      </c>
      <c r="P137" s="171">
        <f t="shared" si="25"/>
        <v>1840.2235853508037</v>
      </c>
      <c r="Q137" s="153">
        <f t="shared" si="27"/>
        <v>493.84240136474165</v>
      </c>
      <c r="S137" s="88"/>
      <c r="T137" s="88"/>
    </row>
    <row r="138" spans="1:20" ht="12.75" customHeight="1">
      <c r="A138" s="1017"/>
      <c r="B138" s="41">
        <v>9</v>
      </c>
      <c r="C138" s="257" t="s">
        <v>547</v>
      </c>
      <c r="D138" s="137">
        <v>27</v>
      </c>
      <c r="E138" s="137">
        <v>1951</v>
      </c>
      <c r="F138" s="218">
        <v>57.099</v>
      </c>
      <c r="G138" s="218">
        <v>3.54</v>
      </c>
      <c r="H138" s="218">
        <v>3.92</v>
      </c>
      <c r="I138" s="389">
        <v>48.302</v>
      </c>
      <c r="J138" s="275">
        <v>1563.77</v>
      </c>
      <c r="K138" s="389">
        <f t="shared" si="13"/>
        <v>48.302</v>
      </c>
      <c r="L138" s="391">
        <f t="shared" si="13"/>
        <v>1563.77</v>
      </c>
      <c r="M138" s="150">
        <f t="shared" si="24"/>
        <v>0.03088817409209794</v>
      </c>
      <c r="N138" s="168">
        <v>268.36</v>
      </c>
      <c r="O138" s="152">
        <f t="shared" si="26"/>
        <v>8.289150399355403</v>
      </c>
      <c r="P138" s="171">
        <f t="shared" si="25"/>
        <v>1853.2904455258765</v>
      </c>
      <c r="Q138" s="153">
        <f t="shared" si="27"/>
        <v>497.34902396132424</v>
      </c>
      <c r="S138" s="88"/>
      <c r="T138" s="88"/>
    </row>
    <row r="139" spans="1:20" ht="12.75" customHeight="1" thickBot="1">
      <c r="A139" s="1018"/>
      <c r="B139" s="45">
        <v>10</v>
      </c>
      <c r="C139" s="258" t="s">
        <v>407</v>
      </c>
      <c r="D139" s="138">
        <v>9</v>
      </c>
      <c r="E139" s="138">
        <v>1910</v>
      </c>
      <c r="F139" s="251">
        <v>9.859</v>
      </c>
      <c r="G139" s="251">
        <v>1.0455</v>
      </c>
      <c r="H139" s="251">
        <v>0</v>
      </c>
      <c r="I139" s="357">
        <v>8.402</v>
      </c>
      <c r="J139" s="365">
        <v>268.82</v>
      </c>
      <c r="K139" s="357">
        <f t="shared" si="13"/>
        <v>8.402</v>
      </c>
      <c r="L139" s="456">
        <f t="shared" si="13"/>
        <v>268.82</v>
      </c>
      <c r="M139" s="154">
        <f t="shared" si="24"/>
        <v>0.03125511494680455</v>
      </c>
      <c r="N139" s="555">
        <v>268.36</v>
      </c>
      <c r="O139" s="156">
        <f t="shared" si="26"/>
        <v>8.38762264712447</v>
      </c>
      <c r="P139" s="156">
        <f t="shared" si="25"/>
        <v>1875.3068968082732</v>
      </c>
      <c r="Q139" s="157">
        <f t="shared" si="27"/>
        <v>503.25735882746824</v>
      </c>
      <c r="S139" s="88"/>
      <c r="T139" s="88"/>
    </row>
    <row r="140" spans="19:20" ht="12.75">
      <c r="S140" s="88"/>
      <c r="T140" s="88"/>
    </row>
    <row r="141" spans="19:20" ht="12.75">
      <c r="S141" s="88"/>
      <c r="T141" s="88"/>
    </row>
    <row r="142" spans="19:20" ht="12.75">
      <c r="S142" s="88"/>
      <c r="T142" s="88"/>
    </row>
    <row r="143" spans="1:20" s="17" customFormat="1" ht="20.25" customHeight="1">
      <c r="A143" s="1034" t="s">
        <v>36</v>
      </c>
      <c r="B143" s="1034"/>
      <c r="C143" s="1034"/>
      <c r="D143" s="1034"/>
      <c r="E143" s="1034"/>
      <c r="F143" s="1034"/>
      <c r="G143" s="1034"/>
      <c r="H143" s="1034"/>
      <c r="I143" s="1034"/>
      <c r="J143" s="1034"/>
      <c r="K143" s="1034"/>
      <c r="L143" s="1034"/>
      <c r="M143" s="1034"/>
      <c r="N143" s="1034"/>
      <c r="O143" s="1034"/>
      <c r="P143" s="1034"/>
      <c r="Q143" s="1034"/>
      <c r="S143" s="88"/>
      <c r="T143" s="88"/>
    </row>
    <row r="144" spans="1:20" s="17" customFormat="1" ht="14.25" customHeight="1" thickBot="1">
      <c r="A144" s="1033" t="s">
        <v>548</v>
      </c>
      <c r="B144" s="1033"/>
      <c r="C144" s="1033"/>
      <c r="D144" s="1033"/>
      <c r="E144" s="1033"/>
      <c r="F144" s="1033"/>
      <c r="G144" s="1033"/>
      <c r="H144" s="1033"/>
      <c r="I144" s="1033"/>
      <c r="J144" s="1033"/>
      <c r="K144" s="1033"/>
      <c r="L144" s="1033"/>
      <c r="M144" s="1033"/>
      <c r="N144" s="1033"/>
      <c r="O144" s="1033"/>
      <c r="P144" s="1033"/>
      <c r="Q144" s="1033"/>
      <c r="S144" s="88"/>
      <c r="T144" s="88"/>
    </row>
    <row r="145" spans="1:20" ht="12.75" customHeight="1">
      <c r="A145" s="952" t="s">
        <v>1</v>
      </c>
      <c r="B145" s="955" t="s">
        <v>0</v>
      </c>
      <c r="C145" s="944" t="s">
        <v>2</v>
      </c>
      <c r="D145" s="944" t="s">
        <v>3</v>
      </c>
      <c r="E145" s="944" t="s">
        <v>13</v>
      </c>
      <c r="F145" s="960" t="s">
        <v>14</v>
      </c>
      <c r="G145" s="961"/>
      <c r="H145" s="961"/>
      <c r="I145" s="962"/>
      <c r="J145" s="944" t="s">
        <v>4</v>
      </c>
      <c r="K145" s="944" t="s">
        <v>15</v>
      </c>
      <c r="L145" s="944" t="s">
        <v>5</v>
      </c>
      <c r="M145" s="944" t="s">
        <v>6</v>
      </c>
      <c r="N145" s="944" t="s">
        <v>16</v>
      </c>
      <c r="O145" s="969" t="s">
        <v>17</v>
      </c>
      <c r="P145" s="969" t="s">
        <v>37</v>
      </c>
      <c r="Q145" s="929" t="s">
        <v>26</v>
      </c>
      <c r="S145" s="88"/>
      <c r="T145" s="88"/>
    </row>
    <row r="146" spans="1:20" s="2" customFormat="1" ht="33.75">
      <c r="A146" s="953"/>
      <c r="B146" s="956"/>
      <c r="C146" s="958"/>
      <c r="D146" s="945"/>
      <c r="E146" s="945"/>
      <c r="F146" s="37" t="s">
        <v>18</v>
      </c>
      <c r="G146" s="37" t="s">
        <v>19</v>
      </c>
      <c r="H146" s="37" t="s">
        <v>20</v>
      </c>
      <c r="I146" s="37" t="s">
        <v>21</v>
      </c>
      <c r="J146" s="945"/>
      <c r="K146" s="945"/>
      <c r="L146" s="945"/>
      <c r="M146" s="945"/>
      <c r="N146" s="945"/>
      <c r="O146" s="970"/>
      <c r="P146" s="970"/>
      <c r="Q146" s="930"/>
      <c r="S146" s="88"/>
      <c r="T146" s="88"/>
    </row>
    <row r="147" spans="1:20" s="3" customFormat="1" ht="17.25" customHeight="1" thickBot="1">
      <c r="A147" s="954"/>
      <c r="B147" s="957"/>
      <c r="C147" s="959"/>
      <c r="D147" s="58" t="s">
        <v>7</v>
      </c>
      <c r="E147" s="58" t="s">
        <v>8</v>
      </c>
      <c r="F147" s="58" t="s">
        <v>9</v>
      </c>
      <c r="G147" s="58" t="s">
        <v>9</v>
      </c>
      <c r="H147" s="58" t="s">
        <v>9</v>
      </c>
      <c r="I147" s="58" t="s">
        <v>9</v>
      </c>
      <c r="J147" s="58" t="s">
        <v>22</v>
      </c>
      <c r="K147" s="58" t="s">
        <v>9</v>
      </c>
      <c r="L147" s="58" t="s">
        <v>22</v>
      </c>
      <c r="M147" s="58" t="s">
        <v>148</v>
      </c>
      <c r="N147" s="58" t="s">
        <v>10</v>
      </c>
      <c r="O147" s="58" t="s">
        <v>24</v>
      </c>
      <c r="P147" s="59" t="s">
        <v>38</v>
      </c>
      <c r="Q147" s="60" t="s">
        <v>28</v>
      </c>
      <c r="S147" s="88"/>
      <c r="T147" s="88"/>
    </row>
    <row r="148" spans="1:20" ht="12.75">
      <c r="A148" s="1042" t="s">
        <v>50</v>
      </c>
      <c r="B148" s="29">
        <v>1</v>
      </c>
      <c r="C148" s="430" t="s">
        <v>549</v>
      </c>
      <c r="D148" s="132">
        <v>28</v>
      </c>
      <c r="E148" s="132">
        <v>1991</v>
      </c>
      <c r="F148" s="248">
        <v>16.1</v>
      </c>
      <c r="G148" s="248">
        <v>3.315</v>
      </c>
      <c r="H148" s="248">
        <v>4.56</v>
      </c>
      <c r="I148" s="248">
        <v>8.225</v>
      </c>
      <c r="J148" s="271">
        <v>1509.42</v>
      </c>
      <c r="K148" s="248">
        <v>8.225</v>
      </c>
      <c r="L148" s="271">
        <v>1509.42</v>
      </c>
      <c r="M148" s="173">
        <f>K148/L148</f>
        <v>0.005449112904294364</v>
      </c>
      <c r="N148" s="160">
        <v>298.22</v>
      </c>
      <c r="O148" s="164">
        <f>M148*N148</f>
        <v>1.6250344503186653</v>
      </c>
      <c r="P148" s="164">
        <f>M148*60*1000</f>
        <v>326.94677425766184</v>
      </c>
      <c r="Q148" s="203">
        <f>P148*N148/1000</f>
        <v>97.50206701911992</v>
      </c>
      <c r="R148" s="6"/>
      <c r="S148" s="88"/>
      <c r="T148" s="88"/>
    </row>
    <row r="149" spans="1:20" ht="12.75">
      <c r="A149" s="1043"/>
      <c r="B149" s="61">
        <v>2</v>
      </c>
      <c r="C149" s="430" t="s">
        <v>311</v>
      </c>
      <c r="D149" s="132">
        <v>30</v>
      </c>
      <c r="E149" s="159">
        <v>1985</v>
      </c>
      <c r="F149" s="253">
        <v>19.698</v>
      </c>
      <c r="G149" s="253">
        <v>3.598</v>
      </c>
      <c r="H149" s="253">
        <v>4.8</v>
      </c>
      <c r="I149" s="253">
        <v>11.3</v>
      </c>
      <c r="J149" s="271">
        <v>1496.17</v>
      </c>
      <c r="K149" s="253">
        <v>11.3</v>
      </c>
      <c r="L149" s="270">
        <v>1496.17</v>
      </c>
      <c r="M149" s="141">
        <f aca="true" t="shared" si="28" ref="M149:M157">K149/L149</f>
        <v>0.007552617683819352</v>
      </c>
      <c r="N149" s="160">
        <v>298.22</v>
      </c>
      <c r="O149" s="143">
        <f aca="true" t="shared" si="29" ref="O149:O187">M149*N149</f>
        <v>2.2523416456686074</v>
      </c>
      <c r="P149" s="164">
        <f aca="true" t="shared" si="30" ref="P149:P187">M149*60*1000</f>
        <v>453.1570610291611</v>
      </c>
      <c r="Q149" s="144">
        <f aca="true" t="shared" si="31" ref="Q149:Q187">P149*N149/1000</f>
        <v>135.14049874011644</v>
      </c>
      <c r="S149" s="88"/>
      <c r="T149" s="88"/>
    </row>
    <row r="150" spans="1:20" ht="12.75">
      <c r="A150" s="927"/>
      <c r="B150" s="30">
        <v>3</v>
      </c>
      <c r="C150" s="430" t="s">
        <v>314</v>
      </c>
      <c r="D150" s="132">
        <v>30</v>
      </c>
      <c r="E150" s="132">
        <v>1987</v>
      </c>
      <c r="F150" s="248">
        <v>20.92</v>
      </c>
      <c r="G150" s="248">
        <v>3.887</v>
      </c>
      <c r="H150" s="248">
        <v>4.8</v>
      </c>
      <c r="I150" s="248">
        <v>12.233</v>
      </c>
      <c r="J150" s="271">
        <v>1596.15</v>
      </c>
      <c r="K150" s="248">
        <v>12.233</v>
      </c>
      <c r="L150" s="271">
        <v>1596.15</v>
      </c>
      <c r="M150" s="141">
        <f t="shared" si="28"/>
        <v>0.007664066660401591</v>
      </c>
      <c r="N150" s="160">
        <v>298.22</v>
      </c>
      <c r="O150" s="143">
        <f t="shared" si="29"/>
        <v>2.2855779594649626</v>
      </c>
      <c r="P150" s="164">
        <f t="shared" si="30"/>
        <v>459.84399962409543</v>
      </c>
      <c r="Q150" s="144">
        <f t="shared" si="31"/>
        <v>137.13467756789774</v>
      </c>
      <c r="S150" s="88"/>
      <c r="T150" s="88"/>
    </row>
    <row r="151" spans="1:20" ht="12.75">
      <c r="A151" s="927"/>
      <c r="B151" s="30">
        <v>4</v>
      </c>
      <c r="C151" s="430" t="s">
        <v>310</v>
      </c>
      <c r="D151" s="132">
        <v>25</v>
      </c>
      <c r="E151" s="132">
        <v>1969</v>
      </c>
      <c r="F151" s="248">
        <v>16.332</v>
      </c>
      <c r="G151" s="248">
        <v>2.091</v>
      </c>
      <c r="H151" s="248">
        <v>3.84</v>
      </c>
      <c r="I151" s="248">
        <v>10.401</v>
      </c>
      <c r="J151" s="271">
        <v>1321.91</v>
      </c>
      <c r="K151" s="248">
        <v>10.401</v>
      </c>
      <c r="L151" s="271">
        <v>1321.91</v>
      </c>
      <c r="M151" s="141">
        <f t="shared" si="28"/>
        <v>0.00786816046478202</v>
      </c>
      <c r="N151" s="160">
        <v>298.22</v>
      </c>
      <c r="O151" s="143">
        <f t="shared" si="29"/>
        <v>2.346442813807294</v>
      </c>
      <c r="P151" s="164">
        <f t="shared" si="30"/>
        <v>472.08962788692116</v>
      </c>
      <c r="Q151" s="144">
        <f t="shared" si="31"/>
        <v>140.78656882843765</v>
      </c>
      <c r="S151" s="88"/>
      <c r="T151" s="88"/>
    </row>
    <row r="152" spans="1:20" ht="12.75">
      <c r="A152" s="927"/>
      <c r="B152" s="30">
        <v>5</v>
      </c>
      <c r="C152" s="430" t="s">
        <v>550</v>
      </c>
      <c r="D152" s="132">
        <v>21</v>
      </c>
      <c r="E152" s="132">
        <v>1987</v>
      </c>
      <c r="F152" s="248">
        <v>14.6</v>
      </c>
      <c r="G152" s="248">
        <v>2.448</v>
      </c>
      <c r="H152" s="248">
        <v>3.36</v>
      </c>
      <c r="I152" s="248">
        <v>8.792</v>
      </c>
      <c r="J152" s="271">
        <v>1097.09</v>
      </c>
      <c r="K152" s="248">
        <v>8.792</v>
      </c>
      <c r="L152" s="271">
        <v>1097.09</v>
      </c>
      <c r="M152" s="141">
        <f t="shared" si="28"/>
        <v>0.008013927754331915</v>
      </c>
      <c r="N152" s="160">
        <v>298.22</v>
      </c>
      <c r="O152" s="143">
        <f t="shared" si="29"/>
        <v>2.389913534896864</v>
      </c>
      <c r="P152" s="164">
        <f t="shared" si="30"/>
        <v>480.8356652599149</v>
      </c>
      <c r="Q152" s="144">
        <f t="shared" si="31"/>
        <v>143.39481209381185</v>
      </c>
      <c r="S152" s="88"/>
      <c r="T152" s="88"/>
    </row>
    <row r="153" spans="1:20" ht="12.75">
      <c r="A153" s="927"/>
      <c r="B153" s="30">
        <v>6</v>
      </c>
      <c r="C153" s="430" t="s">
        <v>315</v>
      </c>
      <c r="D153" s="132">
        <v>32</v>
      </c>
      <c r="E153" s="132">
        <v>1983</v>
      </c>
      <c r="F153" s="248">
        <v>26.35</v>
      </c>
      <c r="G153" s="248">
        <v>3.672</v>
      </c>
      <c r="H153" s="248">
        <v>5.12</v>
      </c>
      <c r="I153" s="248">
        <v>17.558</v>
      </c>
      <c r="J153" s="271">
        <v>2162.72</v>
      </c>
      <c r="K153" s="248">
        <v>17.558</v>
      </c>
      <c r="L153" s="271">
        <v>2162.72</v>
      </c>
      <c r="M153" s="141">
        <f t="shared" si="28"/>
        <v>0.008118480432048531</v>
      </c>
      <c r="N153" s="160">
        <v>298.22</v>
      </c>
      <c r="O153" s="143">
        <f t="shared" si="29"/>
        <v>2.421093234445513</v>
      </c>
      <c r="P153" s="164">
        <f t="shared" si="30"/>
        <v>487.1088259229119</v>
      </c>
      <c r="Q153" s="144">
        <f t="shared" si="31"/>
        <v>145.26559406673078</v>
      </c>
      <c r="S153" s="88"/>
      <c r="T153" s="88"/>
    </row>
    <row r="154" spans="1:20" ht="12.75">
      <c r="A154" s="927"/>
      <c r="B154" s="30">
        <v>7</v>
      </c>
      <c r="C154" s="430" t="s">
        <v>313</v>
      </c>
      <c r="D154" s="132">
        <v>75</v>
      </c>
      <c r="E154" s="132">
        <v>1976</v>
      </c>
      <c r="F154" s="248">
        <v>54.71</v>
      </c>
      <c r="G154" s="248">
        <v>9.164</v>
      </c>
      <c r="H154" s="248">
        <v>12</v>
      </c>
      <c r="I154" s="248">
        <v>33.546</v>
      </c>
      <c r="J154" s="271">
        <v>3969.47</v>
      </c>
      <c r="K154" s="248">
        <v>33.546</v>
      </c>
      <c r="L154" s="271">
        <v>3969.47</v>
      </c>
      <c r="M154" s="141">
        <f t="shared" si="28"/>
        <v>0.008451002274862892</v>
      </c>
      <c r="N154" s="160">
        <v>298.22</v>
      </c>
      <c r="O154" s="143">
        <f t="shared" si="29"/>
        <v>2.520257898409612</v>
      </c>
      <c r="P154" s="164">
        <f t="shared" si="30"/>
        <v>507.0601364917735</v>
      </c>
      <c r="Q154" s="144">
        <f t="shared" si="31"/>
        <v>151.2154739045767</v>
      </c>
      <c r="S154" s="88"/>
      <c r="T154" s="88"/>
    </row>
    <row r="155" spans="1:20" ht="12.75">
      <c r="A155" s="927"/>
      <c r="B155" s="30">
        <v>8</v>
      </c>
      <c r="C155" s="430" t="s">
        <v>312</v>
      </c>
      <c r="D155" s="254">
        <v>60</v>
      </c>
      <c r="E155" s="132">
        <v>1971</v>
      </c>
      <c r="F155" s="248">
        <v>39.882</v>
      </c>
      <c r="G155" s="248">
        <v>5.343</v>
      </c>
      <c r="H155" s="248">
        <v>9.6</v>
      </c>
      <c r="I155" s="248">
        <v>24.939</v>
      </c>
      <c r="J155" s="271">
        <v>2799.04</v>
      </c>
      <c r="K155" s="248">
        <v>24.939</v>
      </c>
      <c r="L155" s="271">
        <v>2799.04</v>
      </c>
      <c r="M155" s="141">
        <f t="shared" si="28"/>
        <v>0.0089098405167486</v>
      </c>
      <c r="N155" s="160">
        <v>298.22</v>
      </c>
      <c r="O155" s="143">
        <f t="shared" si="29"/>
        <v>2.6570926389047673</v>
      </c>
      <c r="P155" s="164">
        <f t="shared" si="30"/>
        <v>534.590431004916</v>
      </c>
      <c r="Q155" s="144">
        <f t="shared" si="31"/>
        <v>159.42555833428605</v>
      </c>
      <c r="S155" s="88"/>
      <c r="T155" s="88"/>
    </row>
    <row r="156" spans="1:20" ht="12.75">
      <c r="A156" s="927"/>
      <c r="B156" s="30">
        <v>9</v>
      </c>
      <c r="C156" s="431" t="s">
        <v>409</v>
      </c>
      <c r="D156" s="132">
        <v>54</v>
      </c>
      <c r="E156" s="132">
        <v>1979</v>
      </c>
      <c r="F156" s="248">
        <v>41.8</v>
      </c>
      <c r="G156" s="248">
        <v>5.428</v>
      </c>
      <c r="H156" s="248">
        <v>8.64</v>
      </c>
      <c r="I156" s="248">
        <v>27.732</v>
      </c>
      <c r="J156" s="271">
        <v>2960.66</v>
      </c>
      <c r="K156" s="248">
        <v>27.137</v>
      </c>
      <c r="L156" s="271">
        <v>2897.11</v>
      </c>
      <c r="M156" s="141">
        <f t="shared" si="28"/>
        <v>0.009366920827997557</v>
      </c>
      <c r="N156" s="160">
        <v>298.22</v>
      </c>
      <c r="O156" s="143">
        <f t="shared" si="29"/>
        <v>2.7934031293254318</v>
      </c>
      <c r="P156" s="164">
        <f t="shared" si="30"/>
        <v>562.0152496798534</v>
      </c>
      <c r="Q156" s="144">
        <f t="shared" si="31"/>
        <v>167.60418775952587</v>
      </c>
      <c r="S156" s="88"/>
      <c r="T156" s="88"/>
    </row>
    <row r="157" spans="1:20" ht="13.5" thickBot="1">
      <c r="A157" s="928"/>
      <c r="B157" s="63">
        <v>10</v>
      </c>
      <c r="C157" s="432" t="s">
        <v>408</v>
      </c>
      <c r="D157" s="133">
        <v>30</v>
      </c>
      <c r="E157" s="133">
        <v>1980</v>
      </c>
      <c r="F157" s="249">
        <v>21.812</v>
      </c>
      <c r="G157" s="249">
        <v>2.822</v>
      </c>
      <c r="H157" s="249">
        <v>4.8</v>
      </c>
      <c r="I157" s="249">
        <v>14.19</v>
      </c>
      <c r="J157" s="272">
        <v>1495.88</v>
      </c>
      <c r="K157" s="249">
        <v>14.19</v>
      </c>
      <c r="L157" s="272">
        <v>1495.88</v>
      </c>
      <c r="M157" s="174">
        <f t="shared" si="28"/>
        <v>0.00948605503115223</v>
      </c>
      <c r="N157" s="162">
        <v>298.22</v>
      </c>
      <c r="O157" s="175">
        <f t="shared" si="29"/>
        <v>2.8289313313902182</v>
      </c>
      <c r="P157" s="273">
        <f t="shared" si="30"/>
        <v>569.1633018691338</v>
      </c>
      <c r="Q157" s="165">
        <f t="shared" si="31"/>
        <v>169.73587988341308</v>
      </c>
      <c r="S157" s="88"/>
      <c r="T157" s="88"/>
    </row>
    <row r="158" spans="1:20" ht="12.75">
      <c r="A158" s="971" t="s">
        <v>45</v>
      </c>
      <c r="B158" s="752">
        <v>1</v>
      </c>
      <c r="C158" s="894" t="s">
        <v>551</v>
      </c>
      <c r="D158" s="873">
        <v>61</v>
      </c>
      <c r="E158" s="873">
        <v>1973</v>
      </c>
      <c r="F158" s="712">
        <v>29.326</v>
      </c>
      <c r="G158" s="712">
        <v>4.177</v>
      </c>
      <c r="H158" s="712">
        <v>0.61</v>
      </c>
      <c r="I158" s="711">
        <v>24.539</v>
      </c>
      <c r="J158" s="713">
        <v>1968.78</v>
      </c>
      <c r="K158" s="712">
        <v>24.539</v>
      </c>
      <c r="L158" s="713">
        <v>1968.78</v>
      </c>
      <c r="M158" s="714">
        <f>K158/L158</f>
        <v>0.012464064039659078</v>
      </c>
      <c r="N158" s="715">
        <v>298.22</v>
      </c>
      <c r="O158" s="716">
        <f t="shared" si="29"/>
        <v>3.7170331779071306</v>
      </c>
      <c r="P158" s="716">
        <f t="shared" si="30"/>
        <v>747.8438423795448</v>
      </c>
      <c r="Q158" s="717">
        <f t="shared" si="31"/>
        <v>223.02199067442785</v>
      </c>
      <c r="S158" s="88"/>
      <c r="T158" s="88"/>
    </row>
    <row r="159" spans="1:20" ht="12.75">
      <c r="A159" s="972"/>
      <c r="B159" s="725">
        <v>2</v>
      </c>
      <c r="C159" s="894" t="s">
        <v>552</v>
      </c>
      <c r="D159" s="873">
        <v>60</v>
      </c>
      <c r="E159" s="873">
        <v>1965</v>
      </c>
      <c r="F159" s="711">
        <v>48.02</v>
      </c>
      <c r="G159" s="711">
        <v>4.182</v>
      </c>
      <c r="H159" s="711">
        <v>9.6</v>
      </c>
      <c r="I159" s="711">
        <v>34.238</v>
      </c>
      <c r="J159" s="719">
        <v>2734.84</v>
      </c>
      <c r="K159" s="711">
        <v>34.238</v>
      </c>
      <c r="L159" s="719">
        <v>2734.84</v>
      </c>
      <c r="M159" s="714">
        <f>K159/L159</f>
        <v>0.012519196735458015</v>
      </c>
      <c r="N159" s="715">
        <v>298.22</v>
      </c>
      <c r="O159" s="716">
        <f t="shared" si="29"/>
        <v>3.7334748504482898</v>
      </c>
      <c r="P159" s="716">
        <f t="shared" si="30"/>
        <v>751.151804127481</v>
      </c>
      <c r="Q159" s="717">
        <f t="shared" si="31"/>
        <v>224.0084910268974</v>
      </c>
      <c r="S159" s="88"/>
      <c r="T159" s="88"/>
    </row>
    <row r="160" spans="1:20" ht="12.75">
      <c r="A160" s="972"/>
      <c r="B160" s="725">
        <v>3</v>
      </c>
      <c r="C160" s="894" t="s">
        <v>553</v>
      </c>
      <c r="D160" s="710">
        <v>108</v>
      </c>
      <c r="E160" s="710">
        <v>1977</v>
      </c>
      <c r="F160" s="711">
        <v>107.978</v>
      </c>
      <c r="G160" s="711">
        <v>13.057</v>
      </c>
      <c r="H160" s="711">
        <v>17.28</v>
      </c>
      <c r="I160" s="711">
        <v>77.641</v>
      </c>
      <c r="J160" s="719">
        <v>6166.89</v>
      </c>
      <c r="K160" s="711">
        <v>75.996</v>
      </c>
      <c r="L160" s="719">
        <v>6033.89</v>
      </c>
      <c r="M160" s="721">
        <f aca="true" t="shared" si="32" ref="M160:M187">K160/L160</f>
        <v>0.012594860032251166</v>
      </c>
      <c r="N160" s="715">
        <v>298.22</v>
      </c>
      <c r="O160" s="716">
        <f t="shared" si="29"/>
        <v>3.756039158817943</v>
      </c>
      <c r="P160" s="716">
        <f t="shared" si="30"/>
        <v>755.69160193507</v>
      </c>
      <c r="Q160" s="722">
        <f t="shared" si="31"/>
        <v>225.3623495290766</v>
      </c>
      <c r="S160" s="88"/>
      <c r="T160" s="88"/>
    </row>
    <row r="161" spans="1:20" ht="12.75">
      <c r="A161" s="972"/>
      <c r="B161" s="725">
        <v>4</v>
      </c>
      <c r="C161" s="894" t="s">
        <v>554</v>
      </c>
      <c r="D161" s="710">
        <v>100</v>
      </c>
      <c r="E161" s="710">
        <v>1969</v>
      </c>
      <c r="F161" s="711">
        <v>81.4</v>
      </c>
      <c r="G161" s="711">
        <v>8.822</v>
      </c>
      <c r="H161" s="711">
        <v>15.92</v>
      </c>
      <c r="I161" s="711">
        <v>56.658</v>
      </c>
      <c r="J161" s="719">
        <v>4440.95</v>
      </c>
      <c r="K161" s="711">
        <v>56.658</v>
      </c>
      <c r="L161" s="719">
        <v>4440.95</v>
      </c>
      <c r="M161" s="721">
        <f t="shared" si="32"/>
        <v>0.01275808104121866</v>
      </c>
      <c r="N161" s="715">
        <v>298.22</v>
      </c>
      <c r="O161" s="723">
        <f t="shared" si="29"/>
        <v>3.804714928112229</v>
      </c>
      <c r="P161" s="716">
        <f t="shared" si="30"/>
        <v>765.4848624731195</v>
      </c>
      <c r="Q161" s="722">
        <f t="shared" si="31"/>
        <v>228.28289568673372</v>
      </c>
      <c r="S161" s="88"/>
      <c r="T161" s="88"/>
    </row>
    <row r="162" spans="1:20" ht="12.75">
      <c r="A162" s="972"/>
      <c r="B162" s="725">
        <v>5</v>
      </c>
      <c r="C162" s="894" t="s">
        <v>555</v>
      </c>
      <c r="D162" s="710">
        <v>109</v>
      </c>
      <c r="E162" s="710">
        <v>1978</v>
      </c>
      <c r="F162" s="711">
        <v>106.33</v>
      </c>
      <c r="G162" s="711">
        <v>11.242</v>
      </c>
      <c r="H162" s="711">
        <v>17.2</v>
      </c>
      <c r="I162" s="711">
        <v>77.887</v>
      </c>
      <c r="J162" s="719">
        <v>6099.44</v>
      </c>
      <c r="K162" s="711">
        <v>77.887</v>
      </c>
      <c r="L162" s="719">
        <v>6099.44</v>
      </c>
      <c r="M162" s="721">
        <f t="shared" si="32"/>
        <v>0.012769532940728986</v>
      </c>
      <c r="N162" s="715">
        <v>298.22</v>
      </c>
      <c r="O162" s="723">
        <f t="shared" si="29"/>
        <v>3.8081301135841987</v>
      </c>
      <c r="P162" s="716">
        <f t="shared" si="30"/>
        <v>766.1719764437391</v>
      </c>
      <c r="Q162" s="722">
        <f t="shared" si="31"/>
        <v>228.4878068150519</v>
      </c>
      <c r="S162" s="88"/>
      <c r="T162" s="88"/>
    </row>
    <row r="163" spans="1:20" ht="12.75">
      <c r="A163" s="972"/>
      <c r="B163" s="725">
        <v>6</v>
      </c>
      <c r="C163" s="894" t="s">
        <v>556</v>
      </c>
      <c r="D163" s="710">
        <v>60</v>
      </c>
      <c r="E163" s="710">
        <v>1965</v>
      </c>
      <c r="F163" s="711">
        <v>51.455</v>
      </c>
      <c r="G163" s="711">
        <v>6.528</v>
      </c>
      <c r="H163" s="711">
        <v>9.6</v>
      </c>
      <c r="I163" s="711">
        <v>35.327</v>
      </c>
      <c r="J163" s="719">
        <v>2734.58</v>
      </c>
      <c r="K163" s="711">
        <v>34.933</v>
      </c>
      <c r="L163" s="719">
        <v>2704.12</v>
      </c>
      <c r="M163" s="721">
        <f t="shared" si="32"/>
        <v>0.01291843557238584</v>
      </c>
      <c r="N163" s="715">
        <v>298.22</v>
      </c>
      <c r="O163" s="723">
        <f t="shared" si="29"/>
        <v>3.852535856396906</v>
      </c>
      <c r="P163" s="716">
        <f t="shared" si="30"/>
        <v>775.1061343431504</v>
      </c>
      <c r="Q163" s="722">
        <f t="shared" si="31"/>
        <v>231.15215138381436</v>
      </c>
      <c r="S163" s="88"/>
      <c r="T163" s="88"/>
    </row>
    <row r="164" spans="1:20" ht="12.75">
      <c r="A164" s="972"/>
      <c r="B164" s="725">
        <v>7</v>
      </c>
      <c r="C164" s="894" t="s">
        <v>557</v>
      </c>
      <c r="D164" s="710">
        <v>38</v>
      </c>
      <c r="E164" s="710">
        <v>1988</v>
      </c>
      <c r="F164" s="711">
        <v>36.7</v>
      </c>
      <c r="G164" s="711">
        <v>3.927</v>
      </c>
      <c r="H164" s="711">
        <v>6.08</v>
      </c>
      <c r="I164" s="711">
        <v>26.693</v>
      </c>
      <c r="J164" s="719">
        <v>2060.24</v>
      </c>
      <c r="K164" s="711">
        <v>24.923</v>
      </c>
      <c r="L164" s="719">
        <v>1923.65</v>
      </c>
      <c r="M164" s="721">
        <f t="shared" si="32"/>
        <v>0.012956099082473421</v>
      </c>
      <c r="N164" s="715">
        <v>298.22</v>
      </c>
      <c r="O164" s="723">
        <f t="shared" si="29"/>
        <v>3.863767868375224</v>
      </c>
      <c r="P164" s="716">
        <f t="shared" si="30"/>
        <v>777.3659449484053</v>
      </c>
      <c r="Q164" s="722">
        <f t="shared" si="31"/>
        <v>231.82607210251345</v>
      </c>
      <c r="S164" s="88"/>
      <c r="T164" s="88"/>
    </row>
    <row r="165" spans="1:20" ht="12.75">
      <c r="A165" s="972"/>
      <c r="B165" s="725">
        <v>8</v>
      </c>
      <c r="C165" s="894" t="s">
        <v>558</v>
      </c>
      <c r="D165" s="710">
        <v>100</v>
      </c>
      <c r="E165" s="710">
        <v>1965</v>
      </c>
      <c r="F165" s="711">
        <v>85.164</v>
      </c>
      <c r="G165" s="711">
        <v>10.812</v>
      </c>
      <c r="H165" s="711">
        <v>15.92</v>
      </c>
      <c r="I165" s="711">
        <v>58.432</v>
      </c>
      <c r="J165" s="719">
        <v>4426.56</v>
      </c>
      <c r="K165" s="711">
        <v>56.57</v>
      </c>
      <c r="L165" s="719">
        <v>4285.47</v>
      </c>
      <c r="M165" s="721">
        <f t="shared" si="32"/>
        <v>0.013200419090554827</v>
      </c>
      <c r="N165" s="715">
        <v>298.22</v>
      </c>
      <c r="O165" s="723">
        <f t="shared" si="29"/>
        <v>3.936628981185261</v>
      </c>
      <c r="P165" s="716">
        <f t="shared" si="30"/>
        <v>792.0251454332896</v>
      </c>
      <c r="Q165" s="722">
        <f t="shared" si="31"/>
        <v>236.19773887111563</v>
      </c>
      <c r="S165" s="88"/>
      <c r="T165" s="88"/>
    </row>
    <row r="166" spans="1:20" ht="12.75">
      <c r="A166" s="972"/>
      <c r="B166" s="725">
        <v>9</v>
      </c>
      <c r="C166" s="894" t="s">
        <v>559</v>
      </c>
      <c r="D166" s="710">
        <v>54</v>
      </c>
      <c r="E166" s="710">
        <v>2007</v>
      </c>
      <c r="F166" s="711">
        <v>50.931</v>
      </c>
      <c r="G166" s="711">
        <v>5.916</v>
      </c>
      <c r="H166" s="711">
        <v>2.826</v>
      </c>
      <c r="I166" s="711">
        <v>42.189</v>
      </c>
      <c r="J166" s="719">
        <v>3133.4</v>
      </c>
      <c r="K166" s="711">
        <v>42.189</v>
      </c>
      <c r="L166" s="719">
        <v>3133.4</v>
      </c>
      <c r="M166" s="721">
        <f t="shared" si="32"/>
        <v>0.01346428799387247</v>
      </c>
      <c r="N166" s="715">
        <v>298.22</v>
      </c>
      <c r="O166" s="723">
        <f t="shared" si="29"/>
        <v>4.015319965532648</v>
      </c>
      <c r="P166" s="716">
        <f t="shared" si="30"/>
        <v>807.8572796323482</v>
      </c>
      <c r="Q166" s="722">
        <f t="shared" si="31"/>
        <v>240.91919793195888</v>
      </c>
      <c r="S166" s="88"/>
      <c r="T166" s="88"/>
    </row>
    <row r="167" spans="1:20" ht="13.5" customHeight="1" thickBot="1">
      <c r="A167" s="973"/>
      <c r="B167" s="736">
        <v>10</v>
      </c>
      <c r="C167" s="895" t="s">
        <v>410</v>
      </c>
      <c r="D167" s="746">
        <v>100</v>
      </c>
      <c r="E167" s="746">
        <v>1969</v>
      </c>
      <c r="F167" s="747">
        <v>88.4</v>
      </c>
      <c r="G167" s="747">
        <v>8.573</v>
      </c>
      <c r="H167" s="747">
        <v>16</v>
      </c>
      <c r="I167" s="747">
        <v>63.827</v>
      </c>
      <c r="J167" s="748">
        <v>4648.63</v>
      </c>
      <c r="K167" s="747">
        <v>63.827</v>
      </c>
      <c r="L167" s="748">
        <v>4648.63</v>
      </c>
      <c r="M167" s="749">
        <f t="shared" si="32"/>
        <v>0.013730281824967785</v>
      </c>
      <c r="N167" s="757">
        <v>298.22</v>
      </c>
      <c r="O167" s="750">
        <f t="shared" si="29"/>
        <v>4.0946446458418935</v>
      </c>
      <c r="P167" s="750">
        <f t="shared" si="30"/>
        <v>823.8169094980672</v>
      </c>
      <c r="Q167" s="751">
        <f t="shared" si="31"/>
        <v>245.67867875051363</v>
      </c>
      <c r="S167" s="88"/>
      <c r="T167" s="88"/>
    </row>
    <row r="168" spans="1:20" ht="11.25" customHeight="1">
      <c r="A168" s="1044" t="s">
        <v>46</v>
      </c>
      <c r="B168" s="32">
        <v>1</v>
      </c>
      <c r="C168" s="482" t="s">
        <v>560</v>
      </c>
      <c r="D168" s="217">
        <v>22</v>
      </c>
      <c r="E168" s="217">
        <v>1976</v>
      </c>
      <c r="F168" s="313">
        <v>32.26</v>
      </c>
      <c r="G168" s="313">
        <v>3.201</v>
      </c>
      <c r="H168" s="313">
        <v>3.52</v>
      </c>
      <c r="I168" s="313">
        <v>25.539</v>
      </c>
      <c r="J168" s="276">
        <v>1170.7</v>
      </c>
      <c r="K168" s="313">
        <v>25.539</v>
      </c>
      <c r="L168" s="390">
        <v>1170.7</v>
      </c>
      <c r="M168" s="209">
        <f t="shared" si="32"/>
        <v>0.021815153327069275</v>
      </c>
      <c r="N168" s="220">
        <v>298.22</v>
      </c>
      <c r="O168" s="208">
        <f t="shared" si="29"/>
        <v>6.5057150251986</v>
      </c>
      <c r="P168" s="208">
        <f t="shared" si="30"/>
        <v>1308.9091996241564</v>
      </c>
      <c r="Q168" s="210">
        <f t="shared" si="31"/>
        <v>390.34290151191595</v>
      </c>
      <c r="S168" s="88"/>
      <c r="T168" s="88"/>
    </row>
    <row r="169" spans="1:20" ht="12.75">
      <c r="A169" s="938"/>
      <c r="B169" s="34">
        <v>2</v>
      </c>
      <c r="C169" s="483" t="s">
        <v>561</v>
      </c>
      <c r="D169" s="135">
        <v>40</v>
      </c>
      <c r="E169" s="135">
        <v>1963</v>
      </c>
      <c r="F169" s="222">
        <v>42.95</v>
      </c>
      <c r="G169" s="222">
        <v>2.895</v>
      </c>
      <c r="H169" s="222">
        <v>0.4</v>
      </c>
      <c r="I169" s="222">
        <v>39.655</v>
      </c>
      <c r="J169" s="277">
        <v>1770</v>
      </c>
      <c r="K169" s="222">
        <v>39.655</v>
      </c>
      <c r="L169" s="277">
        <v>1770</v>
      </c>
      <c r="M169" s="146">
        <f t="shared" si="32"/>
        <v>0.022403954802259887</v>
      </c>
      <c r="N169" s="220">
        <v>298.22</v>
      </c>
      <c r="O169" s="148">
        <f t="shared" si="29"/>
        <v>6.681307401129944</v>
      </c>
      <c r="P169" s="208">
        <f t="shared" si="30"/>
        <v>1344.2372881355932</v>
      </c>
      <c r="Q169" s="149">
        <f t="shared" si="31"/>
        <v>400.87844406779664</v>
      </c>
      <c r="S169" s="88"/>
      <c r="T169" s="88"/>
    </row>
    <row r="170" spans="1:20" ht="12.75">
      <c r="A170" s="938"/>
      <c r="B170" s="34">
        <v>3</v>
      </c>
      <c r="C170" s="483" t="s">
        <v>562</v>
      </c>
      <c r="D170" s="135">
        <v>12</v>
      </c>
      <c r="E170" s="135">
        <v>1958</v>
      </c>
      <c r="F170" s="222">
        <v>17.86</v>
      </c>
      <c r="G170" s="222">
        <v>1.428</v>
      </c>
      <c r="H170" s="222">
        <v>1.92</v>
      </c>
      <c r="I170" s="222">
        <v>14.512</v>
      </c>
      <c r="J170" s="277">
        <v>645.16</v>
      </c>
      <c r="K170" s="222">
        <v>14.512</v>
      </c>
      <c r="L170" s="277">
        <v>645.16</v>
      </c>
      <c r="M170" s="146">
        <f t="shared" si="32"/>
        <v>0.022493644987289976</v>
      </c>
      <c r="N170" s="220">
        <v>298.22</v>
      </c>
      <c r="O170" s="148">
        <f t="shared" si="29"/>
        <v>6.708054808109617</v>
      </c>
      <c r="P170" s="208">
        <f t="shared" si="30"/>
        <v>1349.6186992373987</v>
      </c>
      <c r="Q170" s="149">
        <f t="shared" si="31"/>
        <v>402.48328848657707</v>
      </c>
      <c r="S170" s="88"/>
      <c r="T170" s="88"/>
    </row>
    <row r="171" spans="1:20" ht="12.75">
      <c r="A171" s="938"/>
      <c r="B171" s="34">
        <v>4</v>
      </c>
      <c r="C171" s="483" t="s">
        <v>563</v>
      </c>
      <c r="D171" s="135">
        <v>30</v>
      </c>
      <c r="E171" s="135">
        <v>1983</v>
      </c>
      <c r="F171" s="222">
        <v>42.121</v>
      </c>
      <c r="G171" s="222">
        <v>2.238</v>
      </c>
      <c r="H171" s="222">
        <v>4.8</v>
      </c>
      <c r="I171" s="222">
        <v>35.083</v>
      </c>
      <c r="J171" s="277">
        <v>1495.95</v>
      </c>
      <c r="K171" s="222">
        <v>35.083</v>
      </c>
      <c r="L171" s="277">
        <v>1495.95</v>
      </c>
      <c r="M171" s="146">
        <f t="shared" si="32"/>
        <v>0.023451987031652126</v>
      </c>
      <c r="N171" s="220">
        <v>298.22</v>
      </c>
      <c r="O171" s="148">
        <f t="shared" si="29"/>
        <v>6.993851572579298</v>
      </c>
      <c r="P171" s="208">
        <f t="shared" si="30"/>
        <v>1407.1192218991275</v>
      </c>
      <c r="Q171" s="149">
        <f t="shared" si="31"/>
        <v>419.63109435475786</v>
      </c>
      <c r="S171" s="88"/>
      <c r="T171" s="88"/>
    </row>
    <row r="172" spans="1:20" ht="12.75">
      <c r="A172" s="938"/>
      <c r="B172" s="34">
        <v>5</v>
      </c>
      <c r="C172" s="483" t="s">
        <v>564</v>
      </c>
      <c r="D172" s="135">
        <v>70</v>
      </c>
      <c r="E172" s="135">
        <v>1965</v>
      </c>
      <c r="F172" s="222">
        <v>82.2</v>
      </c>
      <c r="G172" s="222">
        <v>6.426</v>
      </c>
      <c r="H172" s="222">
        <v>0.7</v>
      </c>
      <c r="I172" s="222">
        <v>75.074</v>
      </c>
      <c r="J172" s="277">
        <v>3077.84</v>
      </c>
      <c r="K172" s="222">
        <v>75.074</v>
      </c>
      <c r="L172" s="277">
        <v>3077.84</v>
      </c>
      <c r="M172" s="146">
        <f t="shared" si="32"/>
        <v>0.02439178124918774</v>
      </c>
      <c r="N172" s="220">
        <v>298.22</v>
      </c>
      <c r="O172" s="148">
        <f t="shared" si="29"/>
        <v>7.274117004132769</v>
      </c>
      <c r="P172" s="208">
        <f t="shared" si="30"/>
        <v>1463.5068749512645</v>
      </c>
      <c r="Q172" s="149">
        <f t="shared" si="31"/>
        <v>436.4470202479662</v>
      </c>
      <c r="S172" s="88"/>
      <c r="T172" s="88"/>
    </row>
    <row r="173" spans="1:20" ht="12.75">
      <c r="A173" s="938"/>
      <c r="B173" s="34">
        <v>6</v>
      </c>
      <c r="C173" s="483" t="s">
        <v>411</v>
      </c>
      <c r="D173" s="135">
        <v>41</v>
      </c>
      <c r="E173" s="135">
        <v>1962</v>
      </c>
      <c r="F173" s="222">
        <v>50.707</v>
      </c>
      <c r="G173" s="222">
        <v>3.876</v>
      </c>
      <c r="H173" s="222">
        <v>0.4</v>
      </c>
      <c r="I173" s="222">
        <f aca="true" t="shared" si="33" ref="I173:I179">F173-G173-H173</f>
        <v>46.431000000000004</v>
      </c>
      <c r="J173" s="277">
        <v>1847.46</v>
      </c>
      <c r="K173" s="222">
        <v>44.378</v>
      </c>
      <c r="L173" s="277">
        <v>1765.76</v>
      </c>
      <c r="M173" s="146">
        <f t="shared" si="32"/>
        <v>0.025132520840884378</v>
      </c>
      <c r="N173" s="220">
        <v>298.22</v>
      </c>
      <c r="O173" s="148">
        <f t="shared" si="29"/>
        <v>7.49502036516854</v>
      </c>
      <c r="P173" s="208">
        <f t="shared" si="30"/>
        <v>1507.9512504530628</v>
      </c>
      <c r="Q173" s="149">
        <f t="shared" si="31"/>
        <v>449.7012219101124</v>
      </c>
      <c r="S173" s="88"/>
      <c r="T173" s="88"/>
    </row>
    <row r="174" spans="1:20" ht="12.75">
      <c r="A174" s="938"/>
      <c r="B174" s="34">
        <v>7</v>
      </c>
      <c r="C174" s="483" t="s">
        <v>412</v>
      </c>
      <c r="D174" s="135">
        <v>20</v>
      </c>
      <c r="E174" s="135">
        <v>1964</v>
      </c>
      <c r="F174" s="222">
        <v>25.921</v>
      </c>
      <c r="G174" s="222">
        <v>2.397</v>
      </c>
      <c r="H174" s="222">
        <v>0.2</v>
      </c>
      <c r="I174" s="222">
        <f t="shared" si="33"/>
        <v>23.324</v>
      </c>
      <c r="J174" s="277">
        <v>895.93</v>
      </c>
      <c r="K174" s="222">
        <v>23.324</v>
      </c>
      <c r="L174" s="277">
        <v>895.93</v>
      </c>
      <c r="M174" s="146">
        <f t="shared" si="32"/>
        <v>0.02603328385030081</v>
      </c>
      <c r="N174" s="220">
        <v>298.22</v>
      </c>
      <c r="O174" s="148">
        <f t="shared" si="29"/>
        <v>7.7636459098367085</v>
      </c>
      <c r="P174" s="208">
        <f t="shared" si="30"/>
        <v>1561.9970310180486</v>
      </c>
      <c r="Q174" s="149">
        <f t="shared" si="31"/>
        <v>465.81875459020245</v>
      </c>
      <c r="S174" s="88"/>
      <c r="T174" s="88"/>
    </row>
    <row r="175" spans="1:20" ht="12.75">
      <c r="A175" s="938"/>
      <c r="B175" s="34">
        <v>8</v>
      </c>
      <c r="C175" s="483" t="s">
        <v>565</v>
      </c>
      <c r="D175" s="135">
        <v>70</v>
      </c>
      <c r="E175" s="135">
        <v>1963</v>
      </c>
      <c r="F175" s="222">
        <v>87.387</v>
      </c>
      <c r="G175" s="222">
        <v>5.559</v>
      </c>
      <c r="H175" s="222">
        <v>0.69</v>
      </c>
      <c r="I175" s="222">
        <f t="shared" si="33"/>
        <v>81.138</v>
      </c>
      <c r="J175" s="277">
        <v>3031.55</v>
      </c>
      <c r="K175" s="222">
        <v>81.138</v>
      </c>
      <c r="L175" s="277">
        <v>3031.55</v>
      </c>
      <c r="M175" s="146">
        <f t="shared" si="32"/>
        <v>0.026764526397387474</v>
      </c>
      <c r="N175" s="220">
        <v>298.22</v>
      </c>
      <c r="O175" s="148">
        <f t="shared" si="29"/>
        <v>7.981717062228893</v>
      </c>
      <c r="P175" s="208">
        <f t="shared" si="30"/>
        <v>1605.8715838432486</v>
      </c>
      <c r="Q175" s="149">
        <f t="shared" si="31"/>
        <v>478.9030237337336</v>
      </c>
      <c r="S175" s="88"/>
      <c r="T175" s="88"/>
    </row>
    <row r="176" spans="1:20" ht="12.75">
      <c r="A176" s="938"/>
      <c r="B176" s="34">
        <v>9</v>
      </c>
      <c r="C176" s="483" t="s">
        <v>566</v>
      </c>
      <c r="D176" s="135">
        <v>36</v>
      </c>
      <c r="E176" s="135">
        <v>1959</v>
      </c>
      <c r="F176" s="222">
        <v>48.172</v>
      </c>
      <c r="G176" s="222">
        <v>2.244</v>
      </c>
      <c r="H176" s="222">
        <v>2.73</v>
      </c>
      <c r="I176" s="222">
        <f t="shared" si="33"/>
        <v>43.198</v>
      </c>
      <c r="J176" s="277">
        <v>1462.55</v>
      </c>
      <c r="K176" s="222">
        <v>38.337</v>
      </c>
      <c r="L176" s="277">
        <v>1297.98</v>
      </c>
      <c r="M176" s="146">
        <f t="shared" si="32"/>
        <v>0.029535894235658486</v>
      </c>
      <c r="N176" s="220">
        <v>298.22</v>
      </c>
      <c r="O176" s="148">
        <f t="shared" si="29"/>
        <v>8.808194378958074</v>
      </c>
      <c r="P176" s="208">
        <f t="shared" si="30"/>
        <v>1772.1536541395092</v>
      </c>
      <c r="Q176" s="149">
        <f t="shared" si="31"/>
        <v>528.4916627374845</v>
      </c>
      <c r="S176" s="88"/>
      <c r="T176" s="88"/>
    </row>
    <row r="177" spans="1:20" ht="13.5" thickBot="1">
      <c r="A177" s="940"/>
      <c r="B177" s="36">
        <v>10</v>
      </c>
      <c r="C177" s="484" t="s">
        <v>151</v>
      </c>
      <c r="D177" s="136">
        <v>7</v>
      </c>
      <c r="E177" s="136">
        <v>1967</v>
      </c>
      <c r="F177" s="312">
        <v>11.366</v>
      </c>
      <c r="G177" s="312">
        <v>0.714</v>
      </c>
      <c r="H177" s="312">
        <v>1.12</v>
      </c>
      <c r="I177" s="312">
        <f t="shared" si="33"/>
        <v>9.532</v>
      </c>
      <c r="J177" s="278">
        <v>307.07</v>
      </c>
      <c r="K177" s="312">
        <v>9.532</v>
      </c>
      <c r="L177" s="278">
        <v>307.07</v>
      </c>
      <c r="M177" s="211">
        <f t="shared" si="32"/>
        <v>0.0310417820041033</v>
      </c>
      <c r="N177" s="221">
        <v>298.22</v>
      </c>
      <c r="O177" s="212">
        <f t="shared" si="29"/>
        <v>9.257280229263687</v>
      </c>
      <c r="P177" s="212">
        <f t="shared" si="30"/>
        <v>1862.5069202461982</v>
      </c>
      <c r="Q177" s="213">
        <f t="shared" si="31"/>
        <v>555.4368137558213</v>
      </c>
      <c r="S177" s="88"/>
      <c r="T177" s="88"/>
    </row>
    <row r="178" spans="1:20" ht="12.75">
      <c r="A178" s="1041" t="s">
        <v>51</v>
      </c>
      <c r="B178" s="39">
        <v>1</v>
      </c>
      <c r="C178" s="436" t="s">
        <v>567</v>
      </c>
      <c r="D178" s="491">
        <v>21</v>
      </c>
      <c r="E178" s="137">
        <v>1955</v>
      </c>
      <c r="F178" s="437">
        <v>48.02</v>
      </c>
      <c r="G178" s="218"/>
      <c r="H178" s="218"/>
      <c r="I178" s="438">
        <f t="shared" si="33"/>
        <v>48.02</v>
      </c>
      <c r="J178" s="275">
        <v>1373.76</v>
      </c>
      <c r="K178" s="437">
        <v>31.984</v>
      </c>
      <c r="L178" s="391">
        <v>988.55</v>
      </c>
      <c r="M178" s="150">
        <f t="shared" si="32"/>
        <v>0.03235445855040211</v>
      </c>
      <c r="N178" s="168">
        <v>298.22</v>
      </c>
      <c r="O178" s="152">
        <f t="shared" si="29"/>
        <v>9.648746628900918</v>
      </c>
      <c r="P178" s="171">
        <f t="shared" si="30"/>
        <v>1941.2675130241266</v>
      </c>
      <c r="Q178" s="153">
        <f t="shared" si="31"/>
        <v>578.9247977340551</v>
      </c>
      <c r="S178" s="88"/>
      <c r="T178" s="88"/>
    </row>
    <row r="179" spans="1:20" ht="12.75">
      <c r="A179" s="965"/>
      <c r="B179" s="41">
        <v>2</v>
      </c>
      <c r="C179" s="436" t="s">
        <v>568</v>
      </c>
      <c r="D179" s="491">
        <v>7</v>
      </c>
      <c r="E179" s="137">
        <v>1925</v>
      </c>
      <c r="F179" s="437">
        <v>12.516</v>
      </c>
      <c r="G179" s="218">
        <v>0.255</v>
      </c>
      <c r="H179" s="218">
        <v>0.06</v>
      </c>
      <c r="I179" s="438">
        <f t="shared" si="33"/>
        <v>12.200999999999999</v>
      </c>
      <c r="J179" s="275">
        <v>368.39</v>
      </c>
      <c r="K179" s="437">
        <v>4.143</v>
      </c>
      <c r="L179" s="391">
        <v>125.08</v>
      </c>
      <c r="M179" s="150">
        <f t="shared" si="32"/>
        <v>0.03312280140709945</v>
      </c>
      <c r="N179" s="168">
        <v>298.22</v>
      </c>
      <c r="O179" s="152">
        <f t="shared" si="29"/>
        <v>9.8778818356252</v>
      </c>
      <c r="P179" s="171">
        <f t="shared" si="30"/>
        <v>1987.368084425967</v>
      </c>
      <c r="Q179" s="153">
        <f t="shared" si="31"/>
        <v>592.672910137512</v>
      </c>
      <c r="S179" s="88"/>
      <c r="T179" s="88"/>
    </row>
    <row r="180" spans="1:20" ht="12.75">
      <c r="A180" s="965"/>
      <c r="B180" s="41">
        <v>3</v>
      </c>
      <c r="C180" s="439" t="s">
        <v>413</v>
      </c>
      <c r="D180" s="137">
        <v>7</v>
      </c>
      <c r="E180" s="137">
        <v>1975</v>
      </c>
      <c r="F180" s="437">
        <v>11.922</v>
      </c>
      <c r="G180" s="218"/>
      <c r="H180" s="218"/>
      <c r="I180" s="438">
        <v>11.922</v>
      </c>
      <c r="J180" s="275">
        <v>339.9</v>
      </c>
      <c r="K180" s="437">
        <v>11.922</v>
      </c>
      <c r="L180" s="391">
        <v>339.9</v>
      </c>
      <c r="M180" s="150">
        <f t="shared" si="32"/>
        <v>0.03507502206531333</v>
      </c>
      <c r="N180" s="168">
        <v>298.22</v>
      </c>
      <c r="O180" s="152">
        <f t="shared" si="29"/>
        <v>10.460073080317741</v>
      </c>
      <c r="P180" s="171">
        <f t="shared" si="30"/>
        <v>2104.5013239187997</v>
      </c>
      <c r="Q180" s="153">
        <f t="shared" si="31"/>
        <v>627.6043848190645</v>
      </c>
      <c r="S180" s="88"/>
      <c r="T180" s="88"/>
    </row>
    <row r="181" spans="1:20" ht="12.75">
      <c r="A181" s="965"/>
      <c r="B181" s="41">
        <v>4</v>
      </c>
      <c r="C181" s="436" t="s">
        <v>569</v>
      </c>
      <c r="D181" s="137">
        <v>21</v>
      </c>
      <c r="E181" s="137">
        <v>1965</v>
      </c>
      <c r="F181" s="218">
        <v>32.18</v>
      </c>
      <c r="G181" s="151">
        <v>1.683</v>
      </c>
      <c r="H181" s="218">
        <v>0.21</v>
      </c>
      <c r="I181" s="218">
        <f>F181-G181-H181</f>
        <v>30.287</v>
      </c>
      <c r="J181" s="275">
        <v>849.99</v>
      </c>
      <c r="K181" s="218">
        <v>30.287</v>
      </c>
      <c r="L181" s="275">
        <v>849.99</v>
      </c>
      <c r="M181" s="150">
        <f t="shared" si="32"/>
        <v>0.035632183908045977</v>
      </c>
      <c r="N181" s="168">
        <v>298.22</v>
      </c>
      <c r="O181" s="152">
        <f t="shared" si="29"/>
        <v>10.626229885057471</v>
      </c>
      <c r="P181" s="171">
        <f t="shared" si="30"/>
        <v>2137.9310344827586</v>
      </c>
      <c r="Q181" s="153">
        <f t="shared" si="31"/>
        <v>637.5737931034483</v>
      </c>
      <c r="S181" s="88"/>
      <c r="T181" s="88"/>
    </row>
    <row r="182" spans="1:20" ht="12.75">
      <c r="A182" s="965"/>
      <c r="B182" s="41">
        <v>5</v>
      </c>
      <c r="C182" s="436" t="s">
        <v>570</v>
      </c>
      <c r="D182" s="137">
        <v>6</v>
      </c>
      <c r="E182" s="137">
        <v>1953</v>
      </c>
      <c r="F182" s="218">
        <v>7.279</v>
      </c>
      <c r="G182" s="218">
        <v>0.453</v>
      </c>
      <c r="H182" s="218">
        <v>0.04</v>
      </c>
      <c r="I182" s="218">
        <f>F182-G182-H182</f>
        <v>6.786</v>
      </c>
      <c r="J182" s="275">
        <v>272.16</v>
      </c>
      <c r="K182" s="218">
        <v>5.193</v>
      </c>
      <c r="L182" s="275">
        <v>142.96</v>
      </c>
      <c r="M182" s="150">
        <f t="shared" si="32"/>
        <v>0.03632484611080022</v>
      </c>
      <c r="N182" s="168">
        <v>298.22</v>
      </c>
      <c r="O182" s="152">
        <f t="shared" si="29"/>
        <v>10.832795607162842</v>
      </c>
      <c r="P182" s="171">
        <f t="shared" si="30"/>
        <v>2179.490766648013</v>
      </c>
      <c r="Q182" s="153">
        <f t="shared" si="31"/>
        <v>649.9677364297705</v>
      </c>
      <c r="S182" s="88"/>
      <c r="T182" s="88"/>
    </row>
    <row r="183" spans="1:20" ht="12.75">
      <c r="A183" s="965"/>
      <c r="B183" s="41">
        <v>6</v>
      </c>
      <c r="C183" s="436" t="s">
        <v>414</v>
      </c>
      <c r="D183" s="137">
        <v>5</v>
      </c>
      <c r="E183" s="137">
        <v>1990</v>
      </c>
      <c r="F183" s="218">
        <v>7.23</v>
      </c>
      <c r="G183" s="151"/>
      <c r="H183" s="218"/>
      <c r="I183" s="218">
        <f>F183-G183-H183</f>
        <v>7.23</v>
      </c>
      <c r="J183" s="275">
        <v>192.8</v>
      </c>
      <c r="K183" s="218">
        <v>7.23</v>
      </c>
      <c r="L183" s="275">
        <v>192.8</v>
      </c>
      <c r="M183" s="150">
        <f t="shared" si="32"/>
        <v>0.0375</v>
      </c>
      <c r="N183" s="168">
        <v>298.22</v>
      </c>
      <c r="O183" s="152">
        <f t="shared" si="29"/>
        <v>11.183250000000001</v>
      </c>
      <c r="P183" s="171">
        <f t="shared" si="30"/>
        <v>2250</v>
      </c>
      <c r="Q183" s="153">
        <f t="shared" si="31"/>
        <v>670.9950000000001</v>
      </c>
      <c r="S183" s="88"/>
      <c r="T183" s="88"/>
    </row>
    <row r="184" spans="1:20" ht="12.75">
      <c r="A184" s="965"/>
      <c r="B184" s="41">
        <v>7</v>
      </c>
      <c r="C184" s="436" t="s">
        <v>316</v>
      </c>
      <c r="D184" s="137">
        <v>4</v>
      </c>
      <c r="E184" s="137">
        <v>1959</v>
      </c>
      <c r="F184" s="218">
        <v>6.06</v>
      </c>
      <c r="G184" s="218">
        <v>0.1</v>
      </c>
      <c r="H184" s="218">
        <v>0.04</v>
      </c>
      <c r="I184" s="218">
        <v>5.918</v>
      </c>
      <c r="J184" s="275">
        <v>155.27</v>
      </c>
      <c r="K184" s="218">
        <v>5.918</v>
      </c>
      <c r="L184" s="275">
        <v>155.27</v>
      </c>
      <c r="M184" s="150">
        <f t="shared" si="32"/>
        <v>0.038114252592258646</v>
      </c>
      <c r="N184" s="168">
        <v>298.22</v>
      </c>
      <c r="O184" s="152">
        <f t="shared" si="29"/>
        <v>11.366432408063375</v>
      </c>
      <c r="P184" s="171">
        <f t="shared" si="30"/>
        <v>2286.855155535519</v>
      </c>
      <c r="Q184" s="153">
        <f t="shared" si="31"/>
        <v>681.9859444838025</v>
      </c>
      <c r="S184" s="88"/>
      <c r="T184" s="88"/>
    </row>
    <row r="185" spans="1:20" ht="12.75">
      <c r="A185" s="965"/>
      <c r="B185" s="40">
        <v>8</v>
      </c>
      <c r="C185" s="436" t="s">
        <v>152</v>
      </c>
      <c r="D185" s="137">
        <v>6</v>
      </c>
      <c r="E185" s="137">
        <v>1955</v>
      </c>
      <c r="F185" s="218">
        <v>11.204</v>
      </c>
      <c r="G185" s="218">
        <v>0.153</v>
      </c>
      <c r="H185" s="218">
        <v>0.06</v>
      </c>
      <c r="I185" s="218">
        <f>F185-G185-H185</f>
        <v>10.991</v>
      </c>
      <c r="J185" s="275">
        <v>249.66</v>
      </c>
      <c r="K185" s="218">
        <v>9.09</v>
      </c>
      <c r="L185" s="275">
        <v>206.48</v>
      </c>
      <c r="M185" s="150">
        <f t="shared" si="32"/>
        <v>0.044023634250290586</v>
      </c>
      <c r="N185" s="168">
        <v>298.22</v>
      </c>
      <c r="O185" s="152">
        <f t="shared" si="29"/>
        <v>13.128728206121659</v>
      </c>
      <c r="P185" s="171">
        <f t="shared" si="30"/>
        <v>2641.418055017435</v>
      </c>
      <c r="Q185" s="153">
        <f t="shared" si="31"/>
        <v>787.7236923672996</v>
      </c>
      <c r="S185" s="88"/>
      <c r="T185" s="88"/>
    </row>
    <row r="186" spans="1:20" ht="12.75">
      <c r="A186" s="965"/>
      <c r="B186" s="41">
        <v>9</v>
      </c>
      <c r="C186" s="436" t="s">
        <v>153</v>
      </c>
      <c r="D186" s="137">
        <v>23</v>
      </c>
      <c r="E186" s="137">
        <v>1963</v>
      </c>
      <c r="F186" s="218">
        <v>22.837</v>
      </c>
      <c r="G186" s="218"/>
      <c r="H186" s="218"/>
      <c r="I186" s="218">
        <f>F186-G186-H186</f>
        <v>22.837</v>
      </c>
      <c r="J186" s="275">
        <v>502.6</v>
      </c>
      <c r="K186" s="218">
        <v>22.837</v>
      </c>
      <c r="L186" s="275">
        <v>502.6</v>
      </c>
      <c r="M186" s="150">
        <f t="shared" si="32"/>
        <v>0.045437723836052525</v>
      </c>
      <c r="N186" s="168">
        <v>298.22</v>
      </c>
      <c r="O186" s="152">
        <f t="shared" si="29"/>
        <v>13.550438002387585</v>
      </c>
      <c r="P186" s="171">
        <f t="shared" si="30"/>
        <v>2726.2634301631515</v>
      </c>
      <c r="Q186" s="153">
        <f t="shared" si="31"/>
        <v>813.0262801432551</v>
      </c>
      <c r="S186" s="88"/>
      <c r="T186" s="88"/>
    </row>
    <row r="187" spans="1:20" ht="13.5" thickBot="1">
      <c r="A187" s="966"/>
      <c r="B187" s="45">
        <v>10</v>
      </c>
      <c r="C187" s="440" t="s">
        <v>571</v>
      </c>
      <c r="D187" s="138">
        <v>6</v>
      </c>
      <c r="E187" s="138">
        <v>1959</v>
      </c>
      <c r="F187" s="251">
        <v>9.6</v>
      </c>
      <c r="G187" s="251">
        <v>0.714</v>
      </c>
      <c r="H187" s="251">
        <v>0.06</v>
      </c>
      <c r="I187" s="251">
        <f>F187-G187-H187</f>
        <v>8.825999999999999</v>
      </c>
      <c r="J187" s="365">
        <v>225.86</v>
      </c>
      <c r="K187" s="251">
        <v>6.811</v>
      </c>
      <c r="L187" s="365">
        <v>149.18</v>
      </c>
      <c r="M187" s="154">
        <f t="shared" si="32"/>
        <v>0.045656254189569645</v>
      </c>
      <c r="N187" s="155">
        <v>298.22</v>
      </c>
      <c r="O187" s="156">
        <f t="shared" si="29"/>
        <v>13.61560812441346</v>
      </c>
      <c r="P187" s="156">
        <f t="shared" si="30"/>
        <v>2739.375251374179</v>
      </c>
      <c r="Q187" s="157">
        <f t="shared" si="31"/>
        <v>816.9364874648077</v>
      </c>
      <c r="S187" s="88"/>
      <c r="T187" s="88"/>
    </row>
    <row r="188" spans="19:20" ht="12.75">
      <c r="S188" s="88"/>
      <c r="T188" s="88"/>
    </row>
    <row r="189" spans="19:20" ht="12.75">
      <c r="S189" s="88"/>
      <c r="T189" s="88"/>
    </row>
    <row r="190" spans="1:20" ht="15">
      <c r="A190" s="967" t="s">
        <v>58</v>
      </c>
      <c r="B190" s="967"/>
      <c r="C190" s="967"/>
      <c r="D190" s="967"/>
      <c r="E190" s="967"/>
      <c r="F190" s="967"/>
      <c r="G190" s="967"/>
      <c r="H190" s="967"/>
      <c r="I190" s="967"/>
      <c r="J190" s="967"/>
      <c r="K190" s="967"/>
      <c r="L190" s="967"/>
      <c r="M190" s="967"/>
      <c r="N190" s="967"/>
      <c r="O190" s="967"/>
      <c r="P190" s="967"/>
      <c r="Q190" s="967"/>
      <c r="S190" s="88"/>
      <c r="T190" s="88"/>
    </row>
    <row r="191" spans="1:20" ht="13.5" thickBot="1">
      <c r="A191" s="968" t="s">
        <v>572</v>
      </c>
      <c r="B191" s="968"/>
      <c r="C191" s="968"/>
      <c r="D191" s="968"/>
      <c r="E191" s="968"/>
      <c r="F191" s="968"/>
      <c r="G191" s="968"/>
      <c r="H191" s="968"/>
      <c r="I191" s="968"/>
      <c r="J191" s="968"/>
      <c r="K191" s="968"/>
      <c r="L191" s="968"/>
      <c r="M191" s="968"/>
      <c r="N191" s="968"/>
      <c r="O191" s="968"/>
      <c r="P191" s="968"/>
      <c r="Q191" s="968"/>
      <c r="S191" s="88"/>
      <c r="T191" s="88"/>
    </row>
    <row r="192" spans="1:20" ht="12.75" customHeight="1">
      <c r="A192" s="952" t="s">
        <v>1</v>
      </c>
      <c r="B192" s="955" t="s">
        <v>0</v>
      </c>
      <c r="C192" s="944" t="s">
        <v>2</v>
      </c>
      <c r="D192" s="944" t="s">
        <v>3</v>
      </c>
      <c r="E192" s="944" t="s">
        <v>13</v>
      </c>
      <c r="F192" s="960" t="s">
        <v>14</v>
      </c>
      <c r="G192" s="961"/>
      <c r="H192" s="961"/>
      <c r="I192" s="962"/>
      <c r="J192" s="944" t="s">
        <v>4</v>
      </c>
      <c r="K192" s="944" t="s">
        <v>15</v>
      </c>
      <c r="L192" s="944" t="s">
        <v>5</v>
      </c>
      <c r="M192" s="944" t="s">
        <v>6</v>
      </c>
      <c r="N192" s="944" t="s">
        <v>16</v>
      </c>
      <c r="O192" s="969" t="s">
        <v>17</v>
      </c>
      <c r="P192" s="944" t="s">
        <v>25</v>
      </c>
      <c r="Q192" s="929" t="s">
        <v>26</v>
      </c>
      <c r="S192" s="88"/>
      <c r="T192" s="88"/>
    </row>
    <row r="193" spans="1:20" s="2" customFormat="1" ht="33.75">
      <c r="A193" s="953"/>
      <c r="B193" s="956"/>
      <c r="C193" s="958"/>
      <c r="D193" s="945"/>
      <c r="E193" s="945"/>
      <c r="F193" s="37" t="s">
        <v>18</v>
      </c>
      <c r="G193" s="37" t="s">
        <v>19</v>
      </c>
      <c r="H193" s="37" t="s">
        <v>20</v>
      </c>
      <c r="I193" s="37" t="s">
        <v>21</v>
      </c>
      <c r="J193" s="945"/>
      <c r="K193" s="945"/>
      <c r="L193" s="945"/>
      <c r="M193" s="945"/>
      <c r="N193" s="945"/>
      <c r="O193" s="970"/>
      <c r="P193" s="945"/>
      <c r="Q193" s="930"/>
      <c r="S193" s="88"/>
      <c r="T193" s="88"/>
    </row>
    <row r="194" spans="1:20" s="3" customFormat="1" ht="13.5" customHeight="1" thickBot="1">
      <c r="A194" s="954"/>
      <c r="B194" s="957"/>
      <c r="C194" s="959"/>
      <c r="D194" s="58" t="s">
        <v>7</v>
      </c>
      <c r="E194" s="58" t="s">
        <v>8</v>
      </c>
      <c r="F194" s="58" t="s">
        <v>9</v>
      </c>
      <c r="G194" s="58" t="s">
        <v>9</v>
      </c>
      <c r="H194" s="58" t="s">
        <v>9</v>
      </c>
      <c r="I194" s="58" t="s">
        <v>9</v>
      </c>
      <c r="J194" s="58" t="s">
        <v>22</v>
      </c>
      <c r="K194" s="58" t="s">
        <v>9</v>
      </c>
      <c r="L194" s="58" t="s">
        <v>22</v>
      </c>
      <c r="M194" s="58" t="s">
        <v>148</v>
      </c>
      <c r="N194" s="58" t="s">
        <v>10</v>
      </c>
      <c r="O194" s="58" t="s">
        <v>149</v>
      </c>
      <c r="P194" s="59" t="s">
        <v>27</v>
      </c>
      <c r="Q194" s="60" t="s">
        <v>28</v>
      </c>
      <c r="S194" s="88"/>
      <c r="T194" s="88"/>
    </row>
    <row r="195" spans="1:20" ht="12.75" customHeight="1">
      <c r="A195" s="999" t="s">
        <v>11</v>
      </c>
      <c r="B195" s="29">
        <v>1</v>
      </c>
      <c r="C195" s="560" t="s">
        <v>323</v>
      </c>
      <c r="D195" s="561">
        <v>40</v>
      </c>
      <c r="E195" s="61">
        <v>2009</v>
      </c>
      <c r="F195" s="199">
        <f>+G195+H195+I195</f>
        <v>33.525002</v>
      </c>
      <c r="G195" s="570">
        <v>17.939856</v>
      </c>
      <c r="H195" s="570">
        <v>3.2</v>
      </c>
      <c r="I195" s="570">
        <v>12.385146</v>
      </c>
      <c r="J195" s="574">
        <v>2225.68</v>
      </c>
      <c r="K195" s="570">
        <v>12.385146</v>
      </c>
      <c r="L195" s="574">
        <v>2225.68</v>
      </c>
      <c r="M195" s="328">
        <f>+K195/L195</f>
        <v>0.005564657093562418</v>
      </c>
      <c r="N195" s="198">
        <v>327.109</v>
      </c>
      <c r="O195" s="308">
        <f>+M195*N195</f>
        <v>1.820249417218109</v>
      </c>
      <c r="P195" s="308">
        <f>+M195*60*1000</f>
        <v>333.87942561374507</v>
      </c>
      <c r="Q195" s="294">
        <f>+O195*60</f>
        <v>109.21496503308654</v>
      </c>
      <c r="R195" s="6"/>
      <c r="S195" s="88"/>
      <c r="T195" s="88"/>
    </row>
    <row r="196" spans="1:20" ht="12.75">
      <c r="A196" s="1000"/>
      <c r="B196" s="30">
        <v>2</v>
      </c>
      <c r="C196" s="560" t="s">
        <v>318</v>
      </c>
      <c r="D196" s="561">
        <v>55</v>
      </c>
      <c r="E196" s="30">
        <v>1967</v>
      </c>
      <c r="F196" s="199">
        <f aca="true" t="shared" si="34" ref="F196:F203">+G196+H196+I196</f>
        <v>34.269001</v>
      </c>
      <c r="G196" s="570">
        <v>5.212328</v>
      </c>
      <c r="H196" s="570">
        <v>8.8</v>
      </c>
      <c r="I196" s="570">
        <v>20.256673000000003</v>
      </c>
      <c r="J196" s="574">
        <v>2582.18</v>
      </c>
      <c r="K196" s="570">
        <v>20.256673000000003</v>
      </c>
      <c r="L196" s="574">
        <v>2582.18</v>
      </c>
      <c r="M196" s="328">
        <f aca="true" t="shared" si="35" ref="M196:M203">+K196/L196</f>
        <v>0.007844795095616884</v>
      </c>
      <c r="N196" s="198">
        <v>332.014</v>
      </c>
      <c r="O196" s="308">
        <f aca="true" t="shared" si="36" ref="O196:O203">+M196*N196</f>
        <v>2.6045817988761444</v>
      </c>
      <c r="P196" s="308">
        <f aca="true" t="shared" si="37" ref="P196:P203">+M196*60*1000</f>
        <v>470.687705737013</v>
      </c>
      <c r="Q196" s="189">
        <f aca="true" t="shared" si="38" ref="Q196:Q203">+O196*60</f>
        <v>156.27490793256865</v>
      </c>
      <c r="S196" s="88"/>
      <c r="T196" s="88"/>
    </row>
    <row r="197" spans="1:20" ht="12.75">
      <c r="A197" s="1000"/>
      <c r="B197" s="30">
        <v>3</v>
      </c>
      <c r="C197" s="560" t="s">
        <v>157</v>
      </c>
      <c r="D197" s="561">
        <v>36</v>
      </c>
      <c r="E197" s="30">
        <v>1984</v>
      </c>
      <c r="F197" s="199">
        <f t="shared" si="34"/>
        <v>30.346887000000002</v>
      </c>
      <c r="G197" s="570">
        <v>3.585824</v>
      </c>
      <c r="H197" s="570">
        <v>8.64</v>
      </c>
      <c r="I197" s="570">
        <v>18.121063</v>
      </c>
      <c r="J197" s="574">
        <v>2249.59</v>
      </c>
      <c r="K197" s="570">
        <v>18.121063</v>
      </c>
      <c r="L197" s="574">
        <v>2249.59</v>
      </c>
      <c r="M197" s="328">
        <f t="shared" si="35"/>
        <v>0.008055273627638814</v>
      </c>
      <c r="N197" s="198">
        <v>332.014</v>
      </c>
      <c r="O197" s="308">
        <f t="shared" si="36"/>
        <v>2.6744636182068735</v>
      </c>
      <c r="P197" s="308">
        <f t="shared" si="37"/>
        <v>483.3164176583288</v>
      </c>
      <c r="Q197" s="189">
        <f t="shared" si="38"/>
        <v>160.46781709241242</v>
      </c>
      <c r="S197" s="88"/>
      <c r="T197" s="88"/>
    </row>
    <row r="198" spans="1:20" ht="12.75">
      <c r="A198" s="1000"/>
      <c r="B198" s="30">
        <v>4</v>
      </c>
      <c r="C198" s="560" t="s">
        <v>158</v>
      </c>
      <c r="D198" s="561">
        <v>30</v>
      </c>
      <c r="E198" s="30">
        <v>1973</v>
      </c>
      <c r="F198" s="199">
        <f t="shared" si="34"/>
        <v>20.905005000000003</v>
      </c>
      <c r="G198" s="570">
        <v>3.1161000000000003</v>
      </c>
      <c r="H198" s="570">
        <v>4.8</v>
      </c>
      <c r="I198" s="570">
        <v>12.988905</v>
      </c>
      <c r="J198" s="574">
        <v>1569.45</v>
      </c>
      <c r="K198" s="570">
        <v>12.988905</v>
      </c>
      <c r="L198" s="574">
        <v>1569.45</v>
      </c>
      <c r="M198" s="328">
        <f t="shared" si="35"/>
        <v>0.008276087164293225</v>
      </c>
      <c r="N198" s="198">
        <v>332.014</v>
      </c>
      <c r="O198" s="308">
        <f t="shared" si="36"/>
        <v>2.747776803765651</v>
      </c>
      <c r="P198" s="308">
        <f t="shared" si="37"/>
        <v>496.56522985759347</v>
      </c>
      <c r="Q198" s="189">
        <f t="shared" si="38"/>
        <v>164.86660822593905</v>
      </c>
      <c r="S198" s="88"/>
      <c r="T198" s="88"/>
    </row>
    <row r="199" spans="1:20" ht="12.75">
      <c r="A199" s="1000"/>
      <c r="B199" s="30">
        <v>5</v>
      </c>
      <c r="C199" s="560" t="s">
        <v>317</v>
      </c>
      <c r="D199" s="561">
        <v>71</v>
      </c>
      <c r="E199" s="30">
        <v>1974</v>
      </c>
      <c r="F199" s="199">
        <f t="shared" si="34"/>
        <v>49.47725100000001</v>
      </c>
      <c r="G199" s="570">
        <v>7.058813000000001</v>
      </c>
      <c r="H199" s="570">
        <v>11.200000000000001</v>
      </c>
      <c r="I199" s="570">
        <v>31.218438000000003</v>
      </c>
      <c r="J199" s="574">
        <v>3773.31</v>
      </c>
      <c r="K199" s="570">
        <v>31.218438000000003</v>
      </c>
      <c r="L199" s="574">
        <v>3648.6800000000003</v>
      </c>
      <c r="M199" s="328">
        <f t="shared" si="35"/>
        <v>0.008556090969885</v>
      </c>
      <c r="N199" s="198">
        <v>332.014</v>
      </c>
      <c r="O199" s="308">
        <f t="shared" si="36"/>
        <v>2.8407419872753983</v>
      </c>
      <c r="P199" s="308">
        <f t="shared" si="37"/>
        <v>513.3654581930999</v>
      </c>
      <c r="Q199" s="189">
        <f t="shared" si="38"/>
        <v>170.4445192365239</v>
      </c>
      <c r="S199" s="88"/>
      <c r="T199" s="88"/>
    </row>
    <row r="200" spans="1:20" ht="12.75">
      <c r="A200" s="1000"/>
      <c r="B200" s="30">
        <v>6</v>
      </c>
      <c r="C200" s="560" t="s">
        <v>320</v>
      </c>
      <c r="D200" s="561">
        <v>10</v>
      </c>
      <c r="E200" s="30">
        <v>1999</v>
      </c>
      <c r="F200" s="199">
        <f t="shared" si="34"/>
        <v>10.9524</v>
      </c>
      <c r="G200" s="570">
        <v>0</v>
      </c>
      <c r="H200" s="570">
        <v>0</v>
      </c>
      <c r="I200" s="570">
        <v>10.9524</v>
      </c>
      <c r="J200" s="574">
        <v>1261.9</v>
      </c>
      <c r="K200" s="570">
        <v>10.9524</v>
      </c>
      <c r="L200" s="574">
        <v>1261.9</v>
      </c>
      <c r="M200" s="328">
        <f t="shared" si="35"/>
        <v>0.008679293129408036</v>
      </c>
      <c r="N200" s="198">
        <v>327.109</v>
      </c>
      <c r="O200" s="308">
        <f t="shared" si="36"/>
        <v>2.839074896267533</v>
      </c>
      <c r="P200" s="308">
        <f t="shared" si="37"/>
        <v>520.7575877644821</v>
      </c>
      <c r="Q200" s="189">
        <f t="shared" si="38"/>
        <v>170.344493776052</v>
      </c>
      <c r="S200" s="88"/>
      <c r="T200" s="88"/>
    </row>
    <row r="201" spans="1:20" ht="12.75">
      <c r="A201" s="1000"/>
      <c r="B201" s="30">
        <v>7</v>
      </c>
      <c r="C201" s="560" t="s">
        <v>156</v>
      </c>
      <c r="D201" s="561">
        <v>20</v>
      </c>
      <c r="E201" s="30">
        <v>1976</v>
      </c>
      <c r="F201" s="199">
        <f t="shared" si="34"/>
        <v>22.157</v>
      </c>
      <c r="G201" s="570">
        <v>3.8760000000000003</v>
      </c>
      <c r="H201" s="570">
        <v>3.04</v>
      </c>
      <c r="I201" s="570">
        <v>15.241</v>
      </c>
      <c r="J201" s="574">
        <v>1720.29</v>
      </c>
      <c r="K201" s="570">
        <v>15.241</v>
      </c>
      <c r="L201" s="574">
        <v>1720.29</v>
      </c>
      <c r="M201" s="328">
        <f t="shared" si="35"/>
        <v>0.008859552749827065</v>
      </c>
      <c r="N201" s="198">
        <v>327.109</v>
      </c>
      <c r="O201" s="308">
        <f t="shared" si="36"/>
        <v>2.8980394404431813</v>
      </c>
      <c r="P201" s="308">
        <f t="shared" si="37"/>
        <v>531.5731649896239</v>
      </c>
      <c r="Q201" s="189">
        <f t="shared" si="38"/>
        <v>173.88236642659086</v>
      </c>
      <c r="S201" s="88"/>
      <c r="T201" s="88"/>
    </row>
    <row r="202" spans="1:20" ht="12.75">
      <c r="A202" s="1000"/>
      <c r="B202" s="30">
        <v>8</v>
      </c>
      <c r="C202" s="560" t="s">
        <v>416</v>
      </c>
      <c r="D202" s="561">
        <v>10</v>
      </c>
      <c r="E202" s="30">
        <v>1994</v>
      </c>
      <c r="F202" s="199">
        <f t="shared" si="34"/>
        <v>12.914001</v>
      </c>
      <c r="G202" s="570">
        <v>1.82512</v>
      </c>
      <c r="H202" s="570">
        <v>1.6</v>
      </c>
      <c r="I202" s="570">
        <v>9.488881000000001</v>
      </c>
      <c r="J202" s="574">
        <v>1100.65</v>
      </c>
      <c r="K202" s="570">
        <v>9.488881000000001</v>
      </c>
      <c r="L202" s="574">
        <v>982.46</v>
      </c>
      <c r="M202" s="328">
        <f t="shared" si="35"/>
        <v>0.009658287360299656</v>
      </c>
      <c r="N202" s="198">
        <v>332.014</v>
      </c>
      <c r="O202" s="308">
        <f t="shared" si="36"/>
        <v>3.20668661964253</v>
      </c>
      <c r="P202" s="308">
        <f t="shared" si="37"/>
        <v>579.4972416179793</v>
      </c>
      <c r="Q202" s="189">
        <f t="shared" si="38"/>
        <v>192.4011971785518</v>
      </c>
      <c r="S202" s="88"/>
      <c r="T202" s="88"/>
    </row>
    <row r="203" spans="1:20" ht="12.75">
      <c r="A203" s="1000"/>
      <c r="B203" s="30">
        <v>9</v>
      </c>
      <c r="C203" s="560" t="s">
        <v>319</v>
      </c>
      <c r="D203" s="561">
        <v>29</v>
      </c>
      <c r="E203" s="30">
        <v>2007</v>
      </c>
      <c r="F203" s="199">
        <f t="shared" si="34"/>
        <v>22.935022</v>
      </c>
      <c r="G203" s="570">
        <v>2.641056</v>
      </c>
      <c r="H203" s="570">
        <v>2.32</v>
      </c>
      <c r="I203" s="570">
        <v>17.973966</v>
      </c>
      <c r="J203" s="574">
        <v>3616.71</v>
      </c>
      <c r="K203" s="570">
        <v>17.973966</v>
      </c>
      <c r="L203" s="574">
        <v>1796.56</v>
      </c>
      <c r="M203" s="328">
        <f t="shared" si="35"/>
        <v>0.010004656677205327</v>
      </c>
      <c r="N203" s="198">
        <v>332.014</v>
      </c>
      <c r="O203" s="308">
        <f t="shared" si="36"/>
        <v>3.3216860820256495</v>
      </c>
      <c r="P203" s="308">
        <f t="shared" si="37"/>
        <v>600.2794006323196</v>
      </c>
      <c r="Q203" s="189">
        <f t="shared" si="38"/>
        <v>199.30116492153897</v>
      </c>
      <c r="S203" s="88"/>
      <c r="T203" s="88"/>
    </row>
    <row r="204" spans="1:20" ht="13.5" thickBot="1">
      <c r="A204" s="1001"/>
      <c r="B204" s="61">
        <v>10</v>
      </c>
      <c r="C204" s="64"/>
      <c r="D204" s="63"/>
      <c r="E204" s="63"/>
      <c r="F204" s="235"/>
      <c r="G204" s="235"/>
      <c r="H204" s="235"/>
      <c r="I204" s="235"/>
      <c r="J204" s="364"/>
      <c r="K204" s="235"/>
      <c r="L204" s="364"/>
      <c r="M204" s="297"/>
      <c r="N204" s="127"/>
      <c r="O204" s="329"/>
      <c r="P204" s="329"/>
      <c r="Q204" s="128"/>
      <c r="S204" s="88"/>
      <c r="T204" s="88"/>
    </row>
    <row r="205" spans="1:20" ht="11.25" customHeight="1">
      <c r="A205" s="949" t="s">
        <v>29</v>
      </c>
      <c r="B205" s="752">
        <v>1</v>
      </c>
      <c r="C205" s="883" t="s">
        <v>155</v>
      </c>
      <c r="D205" s="884">
        <v>93</v>
      </c>
      <c r="E205" s="752">
        <v>1973</v>
      </c>
      <c r="F205" s="820">
        <f>+G205+H205+I205</f>
        <v>68.796999</v>
      </c>
      <c r="G205" s="885">
        <v>8.21304</v>
      </c>
      <c r="H205" s="885">
        <v>14.4</v>
      </c>
      <c r="I205" s="885">
        <v>46.18395900000001</v>
      </c>
      <c r="J205" s="886">
        <v>4520.3</v>
      </c>
      <c r="K205" s="885">
        <v>46.18395900000001</v>
      </c>
      <c r="L205" s="886">
        <v>4520.3</v>
      </c>
      <c r="M205" s="887">
        <f>+K205/L205</f>
        <v>0.010217011923987348</v>
      </c>
      <c r="N205" s="888">
        <v>332.014</v>
      </c>
      <c r="O205" s="821">
        <f>+M205*N205</f>
        <v>3.3921909969307356</v>
      </c>
      <c r="P205" s="825">
        <f>+M205*60*1000</f>
        <v>613.0207154392408</v>
      </c>
      <c r="Q205" s="772">
        <f>+O205*60</f>
        <v>203.53145981584413</v>
      </c>
      <c r="S205" s="88"/>
      <c r="T205" s="88"/>
    </row>
    <row r="206" spans="1:20" ht="12.75" customHeight="1">
      <c r="A206" s="950"/>
      <c r="B206" s="725">
        <v>2</v>
      </c>
      <c r="C206" s="889" t="s">
        <v>321</v>
      </c>
      <c r="D206" s="890">
        <v>30</v>
      </c>
      <c r="E206" s="725">
        <v>1971</v>
      </c>
      <c r="F206" s="727">
        <f aca="true" t="shared" si="39" ref="F206:F212">+G206+H206+I206</f>
        <v>24.509000999999998</v>
      </c>
      <c r="G206" s="891">
        <v>3.007476</v>
      </c>
      <c r="H206" s="891">
        <v>4.8</v>
      </c>
      <c r="I206" s="891">
        <v>16.701525</v>
      </c>
      <c r="J206" s="892">
        <v>1569.65</v>
      </c>
      <c r="K206" s="891">
        <v>16.701525</v>
      </c>
      <c r="L206" s="892">
        <v>1569.65</v>
      </c>
      <c r="M206" s="729">
        <f aca="true" t="shared" si="40" ref="M206:M213">+K206/L206</f>
        <v>0.010640286051030484</v>
      </c>
      <c r="N206" s="730">
        <v>332.014</v>
      </c>
      <c r="O206" s="730">
        <f aca="true" t="shared" si="41" ref="O206:O213">+M206*N206</f>
        <v>3.532723932946835</v>
      </c>
      <c r="P206" s="825">
        <f aca="true" t="shared" si="42" ref="P206:P213">+M206*60*1000</f>
        <v>638.417163061829</v>
      </c>
      <c r="Q206" s="772">
        <f aca="true" t="shared" si="43" ref="Q206:Q213">+O206*60</f>
        <v>211.9634359768101</v>
      </c>
      <c r="S206" s="88"/>
      <c r="T206" s="88"/>
    </row>
    <row r="207" spans="1:20" ht="12.75" customHeight="1">
      <c r="A207" s="950"/>
      <c r="B207" s="725">
        <v>3</v>
      </c>
      <c r="C207" s="889" t="s">
        <v>154</v>
      </c>
      <c r="D207" s="890">
        <v>10</v>
      </c>
      <c r="E207" s="725">
        <v>2008</v>
      </c>
      <c r="F207" s="727">
        <f t="shared" si="39"/>
        <v>7.370215000000001</v>
      </c>
      <c r="G207" s="891">
        <v>1.4292150000000001</v>
      </c>
      <c r="H207" s="891">
        <v>0</v>
      </c>
      <c r="I207" s="891">
        <v>5.941000000000001</v>
      </c>
      <c r="J207" s="892">
        <v>1122.7</v>
      </c>
      <c r="K207" s="891">
        <v>5.941000000000001</v>
      </c>
      <c r="L207" s="892">
        <v>552.87</v>
      </c>
      <c r="M207" s="729">
        <f t="shared" si="40"/>
        <v>0.010745744930996438</v>
      </c>
      <c r="N207" s="730">
        <v>332.014</v>
      </c>
      <c r="O207" s="730">
        <f t="shared" si="41"/>
        <v>3.5677377575198514</v>
      </c>
      <c r="P207" s="825">
        <f t="shared" si="42"/>
        <v>644.7446958597862</v>
      </c>
      <c r="Q207" s="772">
        <f t="shared" si="43"/>
        <v>214.0642654511911</v>
      </c>
      <c r="S207" s="88"/>
      <c r="T207" s="88"/>
    </row>
    <row r="208" spans="1:20" s="92" customFormat="1" ht="12.75" customHeight="1">
      <c r="A208" s="950"/>
      <c r="B208" s="755">
        <v>4</v>
      </c>
      <c r="C208" s="889" t="s">
        <v>322</v>
      </c>
      <c r="D208" s="890">
        <v>34</v>
      </c>
      <c r="E208" s="725">
        <v>2001</v>
      </c>
      <c r="F208" s="727">
        <f t="shared" si="39"/>
        <v>28.201999999999998</v>
      </c>
      <c r="G208" s="891">
        <v>3.2208</v>
      </c>
      <c r="H208" s="891">
        <v>5.44</v>
      </c>
      <c r="I208" s="891">
        <v>19.5412</v>
      </c>
      <c r="J208" s="892">
        <v>1747.92</v>
      </c>
      <c r="K208" s="891">
        <v>19.5412</v>
      </c>
      <c r="L208" s="892">
        <v>1747.92</v>
      </c>
      <c r="M208" s="729">
        <f t="shared" si="40"/>
        <v>0.01117968785756785</v>
      </c>
      <c r="N208" s="730">
        <v>327.109</v>
      </c>
      <c r="O208" s="730">
        <f t="shared" si="41"/>
        <v>3.656976515401162</v>
      </c>
      <c r="P208" s="825">
        <f t="shared" si="42"/>
        <v>670.7812714540711</v>
      </c>
      <c r="Q208" s="772">
        <f t="shared" si="43"/>
        <v>219.41859092406972</v>
      </c>
      <c r="S208" s="88"/>
      <c r="T208" s="88"/>
    </row>
    <row r="209" spans="1:20" s="92" customFormat="1" ht="12.75" customHeight="1">
      <c r="A209" s="950"/>
      <c r="B209" s="755">
        <v>5</v>
      </c>
      <c r="C209" s="889" t="s">
        <v>573</v>
      </c>
      <c r="D209" s="890">
        <v>40</v>
      </c>
      <c r="E209" s="725">
        <v>2007</v>
      </c>
      <c r="F209" s="727">
        <f t="shared" si="39"/>
        <v>43.214524000000004</v>
      </c>
      <c r="G209" s="891">
        <v>8.621008000000002</v>
      </c>
      <c r="H209" s="891">
        <v>3.2</v>
      </c>
      <c r="I209" s="891">
        <v>31.393516</v>
      </c>
      <c r="J209" s="892">
        <v>3205.7000000000003</v>
      </c>
      <c r="K209" s="891">
        <v>31.393516</v>
      </c>
      <c r="L209" s="892">
        <v>2763.85</v>
      </c>
      <c r="M209" s="729">
        <f t="shared" si="40"/>
        <v>0.011358617870000183</v>
      </c>
      <c r="N209" s="730">
        <v>332.014</v>
      </c>
      <c r="O209" s="730">
        <f t="shared" si="41"/>
        <v>3.771220153490241</v>
      </c>
      <c r="P209" s="825">
        <f t="shared" si="42"/>
        <v>681.5170722000111</v>
      </c>
      <c r="Q209" s="772">
        <f t="shared" si="43"/>
        <v>226.27320920941446</v>
      </c>
      <c r="S209" s="88"/>
      <c r="T209" s="88"/>
    </row>
    <row r="210" spans="1:20" s="92" customFormat="1" ht="12.75" customHeight="1">
      <c r="A210" s="950"/>
      <c r="B210" s="755">
        <v>6</v>
      </c>
      <c r="C210" s="889" t="s">
        <v>159</v>
      </c>
      <c r="D210" s="890">
        <v>41</v>
      </c>
      <c r="E210" s="725">
        <v>1993</v>
      </c>
      <c r="F210" s="727">
        <f t="shared" si="39"/>
        <v>40.7613</v>
      </c>
      <c r="G210" s="891">
        <v>7.1153949999999995</v>
      </c>
      <c r="H210" s="891">
        <v>6.4</v>
      </c>
      <c r="I210" s="891">
        <v>27.245904999999997</v>
      </c>
      <c r="J210" s="892">
        <v>2265.61</v>
      </c>
      <c r="K210" s="891">
        <v>27.245904999999997</v>
      </c>
      <c r="L210" s="892">
        <v>2265.61</v>
      </c>
      <c r="M210" s="729">
        <f t="shared" si="40"/>
        <v>0.012025858378096846</v>
      </c>
      <c r="N210" s="730">
        <v>332.014</v>
      </c>
      <c r="O210" s="730">
        <f t="shared" si="41"/>
        <v>3.9927533435454463</v>
      </c>
      <c r="P210" s="825">
        <f t="shared" si="42"/>
        <v>721.5515026858108</v>
      </c>
      <c r="Q210" s="772">
        <f t="shared" si="43"/>
        <v>239.56520061272678</v>
      </c>
      <c r="S210" s="88"/>
      <c r="T210" s="88"/>
    </row>
    <row r="211" spans="1:20" s="92" customFormat="1" ht="12.75" customHeight="1">
      <c r="A211" s="950"/>
      <c r="B211" s="755">
        <v>7</v>
      </c>
      <c r="C211" s="889" t="s">
        <v>574</v>
      </c>
      <c r="D211" s="890">
        <v>21</v>
      </c>
      <c r="E211" s="725">
        <v>2000</v>
      </c>
      <c r="F211" s="727">
        <f t="shared" si="39"/>
        <v>19.302</v>
      </c>
      <c r="G211" s="891">
        <v>3.2803320000000005</v>
      </c>
      <c r="H211" s="891">
        <v>2.64</v>
      </c>
      <c r="I211" s="891">
        <v>13.381668</v>
      </c>
      <c r="J211" s="892">
        <v>1105.27</v>
      </c>
      <c r="K211" s="891">
        <v>13.381668</v>
      </c>
      <c r="L211" s="892">
        <v>1105.27</v>
      </c>
      <c r="M211" s="729">
        <f t="shared" si="40"/>
        <v>0.012107148479557031</v>
      </c>
      <c r="N211" s="730">
        <v>327.109</v>
      </c>
      <c r="O211" s="730">
        <f t="shared" si="41"/>
        <v>3.9603572319994207</v>
      </c>
      <c r="P211" s="825">
        <f t="shared" si="42"/>
        <v>726.4289087734219</v>
      </c>
      <c r="Q211" s="772">
        <f t="shared" si="43"/>
        <v>237.62143391996523</v>
      </c>
      <c r="S211" s="88"/>
      <c r="T211" s="88"/>
    </row>
    <row r="212" spans="1:20" s="92" customFormat="1" ht="12.75" customHeight="1">
      <c r="A212" s="950"/>
      <c r="B212" s="755">
        <v>8</v>
      </c>
      <c r="C212" s="889" t="s">
        <v>575</v>
      </c>
      <c r="D212" s="890">
        <v>40</v>
      </c>
      <c r="E212" s="725">
        <v>1996</v>
      </c>
      <c r="F212" s="727">
        <f t="shared" si="39"/>
        <v>39.476</v>
      </c>
      <c r="G212" s="891">
        <v>6.069</v>
      </c>
      <c r="H212" s="891">
        <v>6.4</v>
      </c>
      <c r="I212" s="891">
        <v>27.006999999999998</v>
      </c>
      <c r="J212" s="892">
        <v>2226.71</v>
      </c>
      <c r="K212" s="891">
        <v>27.006999999999998</v>
      </c>
      <c r="L212" s="892">
        <v>2226.71</v>
      </c>
      <c r="M212" s="729">
        <f t="shared" si="40"/>
        <v>0.012128656178846817</v>
      </c>
      <c r="N212" s="730">
        <v>332.014</v>
      </c>
      <c r="O212" s="730">
        <f t="shared" si="41"/>
        <v>4.026883652563647</v>
      </c>
      <c r="P212" s="825">
        <f t="shared" si="42"/>
        <v>727.719370730809</v>
      </c>
      <c r="Q212" s="772">
        <f t="shared" si="43"/>
        <v>241.61301915381884</v>
      </c>
      <c r="S212" s="88"/>
      <c r="T212" s="88"/>
    </row>
    <row r="213" spans="1:20" s="92" customFormat="1" ht="12.75" customHeight="1">
      <c r="A213" s="950"/>
      <c r="B213" s="755">
        <v>9</v>
      </c>
      <c r="C213" s="889" t="s">
        <v>415</v>
      </c>
      <c r="D213" s="890">
        <v>30</v>
      </c>
      <c r="E213" s="725">
        <v>1972</v>
      </c>
      <c r="F213" s="727">
        <f>+G213+H213+I213</f>
        <v>26.803402</v>
      </c>
      <c r="G213" s="891">
        <v>2.273348</v>
      </c>
      <c r="H213" s="891">
        <v>4.8</v>
      </c>
      <c r="I213" s="891">
        <v>19.730054</v>
      </c>
      <c r="J213" s="892">
        <v>1601.44</v>
      </c>
      <c r="K213" s="891">
        <v>19.730054</v>
      </c>
      <c r="L213" s="892">
        <v>1601.44</v>
      </c>
      <c r="M213" s="770">
        <f t="shared" si="40"/>
        <v>0.012320195573983414</v>
      </c>
      <c r="N213" s="771">
        <v>332.014</v>
      </c>
      <c r="O213" s="825">
        <f t="shared" si="41"/>
        <v>4.090477413300529</v>
      </c>
      <c r="P213" s="825">
        <f t="shared" si="42"/>
        <v>739.2117344390048</v>
      </c>
      <c r="Q213" s="772">
        <f t="shared" si="43"/>
        <v>245.42864479803174</v>
      </c>
      <c r="S213" s="88"/>
      <c r="T213" s="88"/>
    </row>
    <row r="214" spans="1:20" s="92" customFormat="1" ht="12.75" customHeight="1" thickBot="1">
      <c r="A214" s="951"/>
      <c r="B214" s="893">
        <v>10</v>
      </c>
      <c r="C214" s="773"/>
      <c r="D214" s="736"/>
      <c r="E214" s="736"/>
      <c r="F214" s="737"/>
      <c r="G214" s="737"/>
      <c r="H214" s="737"/>
      <c r="I214" s="737"/>
      <c r="J214" s="738"/>
      <c r="K214" s="737"/>
      <c r="L214" s="738"/>
      <c r="M214" s="739"/>
      <c r="N214" s="740"/>
      <c r="O214" s="741"/>
      <c r="P214" s="741"/>
      <c r="Q214" s="742"/>
      <c r="S214" s="88"/>
      <c r="T214" s="88"/>
    </row>
    <row r="215" spans="1:20" s="92" customFormat="1" ht="12.75" customHeight="1">
      <c r="A215" s="1002" t="s">
        <v>30</v>
      </c>
      <c r="B215" s="104">
        <v>1</v>
      </c>
      <c r="C215" s="562" t="s">
        <v>324</v>
      </c>
      <c r="D215" s="563">
        <v>20</v>
      </c>
      <c r="E215" s="32">
        <v>1979</v>
      </c>
      <c r="F215" s="392">
        <f>+G215+H215+I215</f>
        <v>27.881732000000003</v>
      </c>
      <c r="G215" s="571">
        <v>1.55672</v>
      </c>
      <c r="H215" s="571">
        <v>3.12</v>
      </c>
      <c r="I215" s="571">
        <v>23.205012000000004</v>
      </c>
      <c r="J215" s="575">
        <v>1059.35</v>
      </c>
      <c r="K215" s="571">
        <v>23.205012000000004</v>
      </c>
      <c r="L215" s="575">
        <v>996.14</v>
      </c>
      <c r="M215" s="330">
        <f>+K215/L215</f>
        <v>0.02329493043146546</v>
      </c>
      <c r="N215" s="331">
        <v>332.014</v>
      </c>
      <c r="O215" s="332">
        <f>+M215*N215</f>
        <v>7.734243032272573</v>
      </c>
      <c r="P215" s="310">
        <f>+M215*60*1000</f>
        <v>1397.6958258879274</v>
      </c>
      <c r="Q215" s="179">
        <f>+O215*60</f>
        <v>464.0545819363544</v>
      </c>
      <c r="S215" s="88"/>
      <c r="T215" s="88"/>
    </row>
    <row r="216" spans="1:20" s="92" customFormat="1" ht="12.75">
      <c r="A216" s="1003"/>
      <c r="B216" s="97">
        <v>2</v>
      </c>
      <c r="C216" s="562" t="s">
        <v>576</v>
      </c>
      <c r="D216" s="563">
        <v>28</v>
      </c>
      <c r="E216" s="34">
        <v>1987</v>
      </c>
      <c r="F216" s="200">
        <f aca="true" t="shared" si="44" ref="F216:F223">+G216+H216+I216</f>
        <v>33.849869000000005</v>
      </c>
      <c r="G216" s="571">
        <v>2.20088</v>
      </c>
      <c r="H216" s="571">
        <v>4.32</v>
      </c>
      <c r="I216" s="571">
        <v>27.328989000000004</v>
      </c>
      <c r="J216" s="575">
        <v>1209.81</v>
      </c>
      <c r="K216" s="571">
        <v>27.328989000000004</v>
      </c>
      <c r="L216" s="575">
        <v>1171.56</v>
      </c>
      <c r="M216" s="301">
        <f aca="true" t="shared" si="45" ref="M216:M223">+K216/L216</f>
        <v>0.02332700757963741</v>
      </c>
      <c r="N216" s="176">
        <v>332.014</v>
      </c>
      <c r="O216" s="176">
        <f aca="true" t="shared" si="46" ref="O216:O223">+M216*N216</f>
        <v>7.744893094545736</v>
      </c>
      <c r="P216" s="310">
        <f aca="true" t="shared" si="47" ref="P216:P223">+M216*60*1000</f>
        <v>1399.6204547782447</v>
      </c>
      <c r="Q216" s="179">
        <f aca="true" t="shared" si="48" ref="Q216:Q223">+O216*60</f>
        <v>464.6935856727442</v>
      </c>
      <c r="S216" s="88"/>
      <c r="T216" s="88"/>
    </row>
    <row r="217" spans="1:20" s="92" customFormat="1" ht="12.75">
      <c r="A217" s="1003"/>
      <c r="B217" s="97">
        <v>3</v>
      </c>
      <c r="C217" s="562" t="s">
        <v>577</v>
      </c>
      <c r="D217" s="563">
        <v>12</v>
      </c>
      <c r="E217" s="34">
        <v>1987</v>
      </c>
      <c r="F217" s="200">
        <f t="shared" si="44"/>
        <v>17.438869</v>
      </c>
      <c r="G217" s="571">
        <v>1.55672</v>
      </c>
      <c r="H217" s="571">
        <v>1.92</v>
      </c>
      <c r="I217" s="571">
        <v>13.962149</v>
      </c>
      <c r="J217" s="575">
        <v>598.54</v>
      </c>
      <c r="K217" s="571">
        <v>13.962149</v>
      </c>
      <c r="L217" s="575">
        <v>598.54</v>
      </c>
      <c r="M217" s="301">
        <f t="shared" si="45"/>
        <v>0.02332701072610018</v>
      </c>
      <c r="N217" s="176">
        <v>332.014</v>
      </c>
      <c r="O217" s="176">
        <f t="shared" si="46"/>
        <v>7.744894139215425</v>
      </c>
      <c r="P217" s="310">
        <f t="shared" si="47"/>
        <v>1399.6206435660108</v>
      </c>
      <c r="Q217" s="179">
        <f t="shared" si="48"/>
        <v>464.6936483529255</v>
      </c>
      <c r="S217" s="88"/>
      <c r="T217" s="88"/>
    </row>
    <row r="218" spans="1:20" s="92" customFormat="1" ht="12.75">
      <c r="A218" s="1003"/>
      <c r="B218" s="97">
        <v>4</v>
      </c>
      <c r="C218" s="562" t="s">
        <v>578</v>
      </c>
      <c r="D218" s="563">
        <v>20</v>
      </c>
      <c r="E218" s="34">
        <v>1987</v>
      </c>
      <c r="F218" s="200">
        <f t="shared" si="44"/>
        <v>30.756</v>
      </c>
      <c r="G218" s="571">
        <v>1.6104</v>
      </c>
      <c r="H218" s="571">
        <v>3.2</v>
      </c>
      <c r="I218" s="571">
        <v>25.9456</v>
      </c>
      <c r="J218" s="575">
        <v>1104.7</v>
      </c>
      <c r="K218" s="571">
        <v>25.9456</v>
      </c>
      <c r="L218" s="575">
        <v>1104.7</v>
      </c>
      <c r="M218" s="301">
        <f t="shared" si="45"/>
        <v>0.02348655743640807</v>
      </c>
      <c r="N218" s="176">
        <v>332.014</v>
      </c>
      <c r="O218" s="176">
        <f t="shared" si="46"/>
        <v>7.79786588069159</v>
      </c>
      <c r="P218" s="310">
        <f t="shared" si="47"/>
        <v>1409.1934461844842</v>
      </c>
      <c r="Q218" s="179">
        <f t="shared" si="48"/>
        <v>467.8719528414954</v>
      </c>
      <c r="S218" s="88"/>
      <c r="T218" s="88"/>
    </row>
    <row r="219" spans="1:20" s="92" customFormat="1" ht="12.75">
      <c r="A219" s="1003"/>
      <c r="B219" s="97">
        <v>5</v>
      </c>
      <c r="C219" s="562" t="s">
        <v>417</v>
      </c>
      <c r="D219" s="563">
        <v>20</v>
      </c>
      <c r="E219" s="34">
        <v>1983</v>
      </c>
      <c r="F219" s="200">
        <f t="shared" si="44"/>
        <v>30.709004999999998</v>
      </c>
      <c r="G219" s="571">
        <v>3.03292</v>
      </c>
      <c r="H219" s="571">
        <v>3.2</v>
      </c>
      <c r="I219" s="571">
        <v>24.476084999999998</v>
      </c>
      <c r="J219" s="575">
        <v>1037.5</v>
      </c>
      <c r="K219" s="571">
        <v>24.476084999999998</v>
      </c>
      <c r="L219" s="575">
        <v>1037.5</v>
      </c>
      <c r="M219" s="301">
        <f t="shared" si="45"/>
        <v>0.02359140722891566</v>
      </c>
      <c r="N219" s="176">
        <v>332.014</v>
      </c>
      <c r="O219" s="176">
        <f>+M219*N219</f>
        <v>7.8326774797012035</v>
      </c>
      <c r="P219" s="310">
        <f t="shared" si="47"/>
        <v>1415.4844337349396</v>
      </c>
      <c r="Q219" s="179">
        <f t="shared" si="48"/>
        <v>469.9606487820722</v>
      </c>
      <c r="S219" s="88"/>
      <c r="T219" s="88"/>
    </row>
    <row r="220" spans="1:20" s="92" customFormat="1" ht="12.75">
      <c r="A220" s="1003"/>
      <c r="B220" s="97">
        <v>6</v>
      </c>
      <c r="C220" s="562" t="s">
        <v>579</v>
      </c>
      <c r="D220" s="563">
        <v>20</v>
      </c>
      <c r="E220" s="34">
        <v>1985</v>
      </c>
      <c r="F220" s="200">
        <f t="shared" si="44"/>
        <v>31.952455</v>
      </c>
      <c r="G220" s="571">
        <v>3.061048</v>
      </c>
      <c r="H220" s="571">
        <v>3.2</v>
      </c>
      <c r="I220" s="571">
        <v>25.691406999999998</v>
      </c>
      <c r="J220" s="575">
        <v>1084.74</v>
      </c>
      <c r="K220" s="571">
        <v>25.691406999999998</v>
      </c>
      <c r="L220" s="575">
        <v>1084.74</v>
      </c>
      <c r="M220" s="301">
        <f t="shared" si="45"/>
        <v>0.023684391651455645</v>
      </c>
      <c r="N220" s="176">
        <v>332.014</v>
      </c>
      <c r="O220" s="176">
        <f t="shared" si="46"/>
        <v>7.863549609766395</v>
      </c>
      <c r="P220" s="310">
        <f t="shared" si="47"/>
        <v>1421.0634990873386</v>
      </c>
      <c r="Q220" s="179">
        <f t="shared" si="48"/>
        <v>471.8129765859837</v>
      </c>
      <c r="S220" s="88"/>
      <c r="T220" s="88"/>
    </row>
    <row r="221" spans="1:20" s="92" customFormat="1" ht="12.75">
      <c r="A221" s="1003"/>
      <c r="B221" s="97">
        <v>7</v>
      </c>
      <c r="C221" s="562" t="s">
        <v>580</v>
      </c>
      <c r="D221" s="563">
        <v>40</v>
      </c>
      <c r="E221" s="34">
        <v>1982</v>
      </c>
      <c r="F221" s="200">
        <f t="shared" si="44"/>
        <v>63.458003000000005</v>
      </c>
      <c r="G221" s="571">
        <v>3.59656</v>
      </c>
      <c r="H221" s="571">
        <v>6.4</v>
      </c>
      <c r="I221" s="571">
        <v>53.461443</v>
      </c>
      <c r="J221" s="575">
        <v>2240.04</v>
      </c>
      <c r="K221" s="571">
        <v>53.461443</v>
      </c>
      <c r="L221" s="575">
        <v>2240.04</v>
      </c>
      <c r="M221" s="301">
        <f t="shared" si="45"/>
        <v>0.02386628944125998</v>
      </c>
      <c r="N221" s="176">
        <v>332.014</v>
      </c>
      <c r="O221" s="176">
        <f t="shared" si="46"/>
        <v>7.923942222550491</v>
      </c>
      <c r="P221" s="310">
        <f t="shared" si="47"/>
        <v>1431.9773664755987</v>
      </c>
      <c r="Q221" s="179">
        <f t="shared" si="48"/>
        <v>475.43653335302946</v>
      </c>
      <c r="S221" s="88"/>
      <c r="T221" s="88"/>
    </row>
    <row r="222" spans="1:20" s="92" customFormat="1" ht="12.75">
      <c r="A222" s="1003"/>
      <c r="B222" s="97">
        <v>8</v>
      </c>
      <c r="C222" s="562" t="s">
        <v>581</v>
      </c>
      <c r="D222" s="563">
        <v>13</v>
      </c>
      <c r="E222" s="34">
        <v>1961</v>
      </c>
      <c r="F222" s="200">
        <f t="shared" si="44"/>
        <v>14.326184999999999</v>
      </c>
      <c r="G222" s="571">
        <v>0.6709999999999999</v>
      </c>
      <c r="H222" s="571">
        <v>2</v>
      </c>
      <c r="I222" s="571">
        <v>11.655185</v>
      </c>
      <c r="J222" s="575">
        <v>846.44</v>
      </c>
      <c r="K222" s="571">
        <v>11.655185</v>
      </c>
      <c r="L222" s="575">
        <v>485.54</v>
      </c>
      <c r="M222" s="301">
        <f t="shared" si="45"/>
        <v>0.02400458252667133</v>
      </c>
      <c r="N222" s="176">
        <v>332.014</v>
      </c>
      <c r="O222" s="176">
        <f t="shared" si="46"/>
        <v>7.969857463010256</v>
      </c>
      <c r="P222" s="310">
        <f t="shared" si="47"/>
        <v>1440.27495160028</v>
      </c>
      <c r="Q222" s="179">
        <f t="shared" si="48"/>
        <v>478.19144778061536</v>
      </c>
      <c r="S222" s="88"/>
      <c r="T222" s="88"/>
    </row>
    <row r="223" spans="1:20" s="92" customFormat="1" ht="12.75">
      <c r="A223" s="1003"/>
      <c r="B223" s="97">
        <v>9</v>
      </c>
      <c r="C223" s="564" t="s">
        <v>582</v>
      </c>
      <c r="D223" s="565">
        <v>21</v>
      </c>
      <c r="E223" s="34">
        <v>1986</v>
      </c>
      <c r="F223" s="237">
        <f t="shared" si="44"/>
        <v>31.339004000000003</v>
      </c>
      <c r="G223" s="572">
        <v>1.93248</v>
      </c>
      <c r="H223" s="572">
        <v>3.2</v>
      </c>
      <c r="I223" s="572">
        <v>26.206524</v>
      </c>
      <c r="J223" s="576">
        <v>1090.65</v>
      </c>
      <c r="K223" s="572">
        <v>26.206524</v>
      </c>
      <c r="L223" s="576">
        <v>1090.65</v>
      </c>
      <c r="M223" s="301">
        <f t="shared" si="45"/>
        <v>0.024028353734011826</v>
      </c>
      <c r="N223" s="176">
        <v>332.014</v>
      </c>
      <c r="O223" s="176">
        <f t="shared" si="46"/>
        <v>7.977749836644203</v>
      </c>
      <c r="P223" s="310">
        <f t="shared" si="47"/>
        <v>1441.7012240407096</v>
      </c>
      <c r="Q223" s="179">
        <f t="shared" si="48"/>
        <v>478.66499019865216</v>
      </c>
      <c r="S223" s="88"/>
      <c r="T223" s="88"/>
    </row>
    <row r="224" spans="1:20" s="92" customFormat="1" ht="13.5" thickBot="1">
      <c r="A224" s="1004"/>
      <c r="B224" s="120">
        <v>10</v>
      </c>
      <c r="C224" s="35"/>
      <c r="D224" s="36"/>
      <c r="E224" s="36"/>
      <c r="F224" s="374"/>
      <c r="G224" s="374"/>
      <c r="H224" s="374"/>
      <c r="I224" s="374"/>
      <c r="J224" s="311"/>
      <c r="K224" s="374"/>
      <c r="L224" s="311"/>
      <c r="M224" s="302"/>
      <c r="N224" s="303"/>
      <c r="O224" s="333"/>
      <c r="P224" s="333"/>
      <c r="Q224" s="304"/>
      <c r="S224" s="88"/>
      <c r="T224" s="88"/>
    </row>
    <row r="225" spans="1:20" s="92" customFormat="1" ht="12.75" customHeight="1">
      <c r="A225" s="946" t="s">
        <v>12</v>
      </c>
      <c r="B225" s="105">
        <v>1</v>
      </c>
      <c r="C225" s="566" t="s">
        <v>325</v>
      </c>
      <c r="D225" s="567">
        <v>9</v>
      </c>
      <c r="E225" s="39">
        <v>1977</v>
      </c>
      <c r="F225" s="393">
        <f>+G225+H225+I225</f>
        <v>12.075321</v>
      </c>
      <c r="G225" s="573">
        <v>0.7515200000000001</v>
      </c>
      <c r="H225" s="573">
        <v>1.44</v>
      </c>
      <c r="I225" s="573">
        <v>9.883801</v>
      </c>
      <c r="J225" s="577">
        <v>673.4</v>
      </c>
      <c r="K225" s="573">
        <v>9.883801</v>
      </c>
      <c r="L225" s="577">
        <v>408.73</v>
      </c>
      <c r="M225" s="568">
        <f>+K225/L225</f>
        <v>0.02418173610941208</v>
      </c>
      <c r="N225" s="569">
        <v>332.014</v>
      </c>
      <c r="O225" s="334">
        <f>+M225*N225</f>
        <v>8.028674932630341</v>
      </c>
      <c r="P225" s="493">
        <f>+M225*60*1000</f>
        <v>1450.9041665647246</v>
      </c>
      <c r="Q225" s="268">
        <f>+O225*60</f>
        <v>481.7204959578205</v>
      </c>
      <c r="S225" s="88"/>
      <c r="T225" s="88"/>
    </row>
    <row r="226" spans="1:20" s="92" customFormat="1" ht="12.75">
      <c r="A226" s="947"/>
      <c r="B226" s="106">
        <v>2</v>
      </c>
      <c r="C226" s="566" t="s">
        <v>161</v>
      </c>
      <c r="D226" s="567">
        <v>20</v>
      </c>
      <c r="E226" s="41">
        <v>1981</v>
      </c>
      <c r="F226" s="201">
        <f aca="true" t="shared" si="49" ref="F226:F233">+G226+H226+I226</f>
        <v>31.182003000000005</v>
      </c>
      <c r="G226" s="573">
        <v>2.4522630000000003</v>
      </c>
      <c r="H226" s="573">
        <v>3.2</v>
      </c>
      <c r="I226" s="573">
        <v>25.529740000000004</v>
      </c>
      <c r="J226" s="577">
        <v>1031.73</v>
      </c>
      <c r="K226" s="573">
        <v>25.529740000000004</v>
      </c>
      <c r="L226" s="577">
        <v>1031.73</v>
      </c>
      <c r="M226" s="286">
        <f aca="true" t="shared" si="50" ref="M226:M233">+K226/L226</f>
        <v>0.02474459403138418</v>
      </c>
      <c r="N226" s="178">
        <v>332.014</v>
      </c>
      <c r="O226" s="178">
        <f aca="true" t="shared" si="51" ref="O226:O233">+M226*N226</f>
        <v>8.215551642735988</v>
      </c>
      <c r="P226" s="493">
        <f aca="true" t="shared" si="52" ref="P226:P233">+M226*60*1000</f>
        <v>1484.675641883051</v>
      </c>
      <c r="Q226" s="191">
        <f aca="true" t="shared" si="53" ref="Q226:Q233">+O226*60</f>
        <v>492.9330985641593</v>
      </c>
      <c r="S226" s="88"/>
      <c r="T226" s="88"/>
    </row>
    <row r="227" spans="1:20" s="92" customFormat="1" ht="12.75">
      <c r="A227" s="947"/>
      <c r="B227" s="106">
        <v>3</v>
      </c>
      <c r="C227" s="566" t="s">
        <v>160</v>
      </c>
      <c r="D227" s="567">
        <v>22</v>
      </c>
      <c r="E227" s="41">
        <v>1964</v>
      </c>
      <c r="F227" s="201">
        <f t="shared" si="49"/>
        <v>27.716251000000003</v>
      </c>
      <c r="G227" s="573">
        <v>1.3334110000000001</v>
      </c>
      <c r="H227" s="573">
        <v>0.38</v>
      </c>
      <c r="I227" s="573">
        <v>26.002840000000003</v>
      </c>
      <c r="J227" s="577">
        <v>1065.94</v>
      </c>
      <c r="K227" s="573">
        <v>26.002840000000003</v>
      </c>
      <c r="L227" s="577">
        <v>1024.21</v>
      </c>
      <c r="M227" s="286">
        <f t="shared" si="50"/>
        <v>0.025388191874713195</v>
      </c>
      <c r="N227" s="178">
        <v>332.014</v>
      </c>
      <c r="O227" s="178">
        <f t="shared" si="51"/>
        <v>8.429235137091027</v>
      </c>
      <c r="P227" s="493">
        <f t="shared" si="52"/>
        <v>1523.2915124827916</v>
      </c>
      <c r="Q227" s="191">
        <f t="shared" si="53"/>
        <v>505.7541082254616</v>
      </c>
      <c r="S227" s="88"/>
      <c r="T227" s="88"/>
    </row>
    <row r="228" spans="1:20" s="92" customFormat="1" ht="12.75">
      <c r="A228" s="947"/>
      <c r="B228" s="106">
        <v>4</v>
      </c>
      <c r="C228" s="566" t="s">
        <v>327</v>
      </c>
      <c r="D228" s="567">
        <v>13</v>
      </c>
      <c r="E228" s="41">
        <v>1980</v>
      </c>
      <c r="F228" s="201">
        <f t="shared" si="49"/>
        <v>16.433000000000003</v>
      </c>
      <c r="G228" s="573">
        <v>1.041392</v>
      </c>
      <c r="H228" s="573">
        <v>1.28</v>
      </c>
      <c r="I228" s="573">
        <v>14.111608000000002</v>
      </c>
      <c r="J228" s="577">
        <v>997.63</v>
      </c>
      <c r="K228" s="573">
        <v>14.111608000000002</v>
      </c>
      <c r="L228" s="577">
        <v>551.26</v>
      </c>
      <c r="M228" s="286">
        <f t="shared" si="50"/>
        <v>0.025598824511119982</v>
      </c>
      <c r="N228" s="178">
        <v>332.014</v>
      </c>
      <c r="O228" s="178">
        <f t="shared" si="51"/>
        <v>8.49916812123499</v>
      </c>
      <c r="P228" s="493">
        <f t="shared" si="52"/>
        <v>1535.929470667199</v>
      </c>
      <c r="Q228" s="191">
        <f t="shared" si="53"/>
        <v>509.95008727409936</v>
      </c>
      <c r="S228" s="88"/>
      <c r="T228" s="88"/>
    </row>
    <row r="229" spans="1:20" s="92" customFormat="1" ht="12.75">
      <c r="A229" s="947"/>
      <c r="B229" s="106">
        <v>5</v>
      </c>
      <c r="C229" s="566" t="s">
        <v>326</v>
      </c>
      <c r="D229" s="567">
        <v>7</v>
      </c>
      <c r="E229" s="41">
        <v>1977</v>
      </c>
      <c r="F229" s="201">
        <f t="shared" si="49"/>
        <v>9.405026</v>
      </c>
      <c r="G229" s="573">
        <v>0.35428800000000005</v>
      </c>
      <c r="H229" s="573">
        <v>1.12</v>
      </c>
      <c r="I229" s="573">
        <v>7.930738</v>
      </c>
      <c r="J229" s="577">
        <v>360.39</v>
      </c>
      <c r="K229" s="573">
        <v>7.930738</v>
      </c>
      <c r="L229" s="577">
        <v>309.77</v>
      </c>
      <c r="M229" s="286">
        <f t="shared" si="50"/>
        <v>0.025602020854182138</v>
      </c>
      <c r="N229" s="178">
        <v>332.014</v>
      </c>
      <c r="O229" s="178">
        <f t="shared" si="51"/>
        <v>8.500229351880428</v>
      </c>
      <c r="P229" s="493">
        <f t="shared" si="52"/>
        <v>1536.1212512509283</v>
      </c>
      <c r="Q229" s="191">
        <f t="shared" si="53"/>
        <v>510.0137611128257</v>
      </c>
      <c r="S229" s="88"/>
      <c r="T229" s="88"/>
    </row>
    <row r="230" spans="1:20" s="92" customFormat="1" ht="12.75">
      <c r="A230" s="947"/>
      <c r="B230" s="106">
        <v>6</v>
      </c>
      <c r="C230" s="566" t="s">
        <v>418</v>
      </c>
      <c r="D230" s="567">
        <v>5</v>
      </c>
      <c r="E230" s="41">
        <v>1924</v>
      </c>
      <c r="F230" s="201">
        <f t="shared" si="49"/>
        <v>6.5825</v>
      </c>
      <c r="G230" s="573">
        <v>0.2684</v>
      </c>
      <c r="H230" s="573">
        <v>0</v>
      </c>
      <c r="I230" s="573">
        <v>6.3141</v>
      </c>
      <c r="J230" s="577">
        <v>245.91</v>
      </c>
      <c r="K230" s="573">
        <v>6.3141</v>
      </c>
      <c r="L230" s="577">
        <v>245.91</v>
      </c>
      <c r="M230" s="286">
        <f t="shared" si="50"/>
        <v>0.025676467000121994</v>
      </c>
      <c r="N230" s="178">
        <v>332.014</v>
      </c>
      <c r="O230" s="178">
        <f t="shared" si="51"/>
        <v>8.524946514578504</v>
      </c>
      <c r="P230" s="493">
        <f t="shared" si="52"/>
        <v>1540.5880200073198</v>
      </c>
      <c r="Q230" s="191">
        <f t="shared" si="53"/>
        <v>511.49679087471026</v>
      </c>
      <c r="S230" s="88"/>
      <c r="T230" s="88"/>
    </row>
    <row r="231" spans="1:20" s="92" customFormat="1" ht="12.75">
      <c r="A231" s="947"/>
      <c r="B231" s="106">
        <v>7</v>
      </c>
      <c r="C231" s="566" t="s">
        <v>419</v>
      </c>
      <c r="D231" s="567">
        <v>9</v>
      </c>
      <c r="E231" s="41">
        <v>1970</v>
      </c>
      <c r="F231" s="201">
        <f t="shared" si="49"/>
        <v>10.351999000000001</v>
      </c>
      <c r="G231" s="573">
        <v>0</v>
      </c>
      <c r="H231" s="573">
        <v>0</v>
      </c>
      <c r="I231" s="573">
        <v>10.351999000000001</v>
      </c>
      <c r="J231" s="577">
        <v>397.79</v>
      </c>
      <c r="K231" s="573">
        <v>10.351999000000001</v>
      </c>
      <c r="L231" s="577">
        <v>397.79</v>
      </c>
      <c r="M231" s="286">
        <f t="shared" si="50"/>
        <v>0.026023778878302622</v>
      </c>
      <c r="N231" s="178">
        <v>332.014</v>
      </c>
      <c r="O231" s="178">
        <f t="shared" si="51"/>
        <v>8.640258920500766</v>
      </c>
      <c r="P231" s="493">
        <f t="shared" si="52"/>
        <v>1561.4267326981571</v>
      </c>
      <c r="Q231" s="191">
        <f t="shared" si="53"/>
        <v>518.415535230046</v>
      </c>
      <c r="S231" s="88"/>
      <c r="T231" s="88"/>
    </row>
    <row r="232" spans="1:20" s="92" customFormat="1" ht="12.75">
      <c r="A232" s="947"/>
      <c r="B232" s="106">
        <v>8</v>
      </c>
      <c r="C232" s="566" t="s">
        <v>583</v>
      </c>
      <c r="D232" s="567">
        <v>39</v>
      </c>
      <c r="E232" s="41">
        <v>1999</v>
      </c>
      <c r="F232" s="201">
        <f t="shared" si="49"/>
        <v>69.246</v>
      </c>
      <c r="G232" s="573">
        <v>7.292999999999999</v>
      </c>
      <c r="H232" s="573">
        <v>6.24</v>
      </c>
      <c r="I232" s="573">
        <v>55.713</v>
      </c>
      <c r="J232" s="577">
        <v>2112.7200000000003</v>
      </c>
      <c r="K232" s="573">
        <v>55.713</v>
      </c>
      <c r="L232" s="577">
        <v>2112.7200000000003</v>
      </c>
      <c r="M232" s="286">
        <f t="shared" si="50"/>
        <v>0.026370271498352832</v>
      </c>
      <c r="N232" s="178">
        <v>327.109</v>
      </c>
      <c r="O232" s="178">
        <f t="shared" si="51"/>
        <v>8.625953139554696</v>
      </c>
      <c r="P232" s="493">
        <f t="shared" si="52"/>
        <v>1582.21628990117</v>
      </c>
      <c r="Q232" s="191">
        <f t="shared" si="53"/>
        <v>517.5571883732817</v>
      </c>
      <c r="S232" s="88"/>
      <c r="T232" s="88"/>
    </row>
    <row r="233" spans="1:20" s="92" customFormat="1" ht="12.75">
      <c r="A233" s="947"/>
      <c r="B233" s="106">
        <v>9</v>
      </c>
      <c r="C233" s="566" t="s">
        <v>162</v>
      </c>
      <c r="D233" s="567">
        <v>46</v>
      </c>
      <c r="E233" s="41">
        <v>1963</v>
      </c>
      <c r="F233" s="201">
        <f t="shared" si="49"/>
        <v>32.899082</v>
      </c>
      <c r="G233" s="573">
        <v>1.358104</v>
      </c>
      <c r="H233" s="573">
        <v>0</v>
      </c>
      <c r="I233" s="573">
        <v>31.540978</v>
      </c>
      <c r="J233" s="577">
        <v>1094</v>
      </c>
      <c r="K233" s="573">
        <v>31.540978</v>
      </c>
      <c r="L233" s="577">
        <v>1064.64</v>
      </c>
      <c r="M233" s="538">
        <f t="shared" si="50"/>
        <v>0.02962595619176435</v>
      </c>
      <c r="N233" s="190">
        <v>332.014</v>
      </c>
      <c r="O233" s="493">
        <f t="shared" si="51"/>
        <v>9.83623221905245</v>
      </c>
      <c r="P233" s="493">
        <f t="shared" si="52"/>
        <v>1777.557371505861</v>
      </c>
      <c r="Q233" s="191">
        <f t="shared" si="53"/>
        <v>590.173933143147</v>
      </c>
      <c r="S233" s="88"/>
      <c r="T233" s="88"/>
    </row>
    <row r="234" spans="1:20" s="92" customFormat="1" ht="13.5" thickBot="1">
      <c r="A234" s="948"/>
      <c r="B234" s="107">
        <v>10</v>
      </c>
      <c r="C234" s="73"/>
      <c r="D234" s="45"/>
      <c r="E234" s="45"/>
      <c r="F234" s="51"/>
      <c r="G234" s="51"/>
      <c r="H234" s="51"/>
      <c r="I234" s="51"/>
      <c r="J234" s="51"/>
      <c r="K234" s="51"/>
      <c r="L234" s="51"/>
      <c r="M234" s="51"/>
      <c r="N234" s="51"/>
      <c r="O234" s="492"/>
      <c r="P234" s="492"/>
      <c r="Q234" s="663"/>
      <c r="S234" s="88"/>
      <c r="T234" s="88"/>
    </row>
    <row r="235" spans="17:20" ht="12.75">
      <c r="Q235" s="284"/>
      <c r="R235" s="284"/>
      <c r="S235" s="88"/>
      <c r="T235" s="88"/>
    </row>
    <row r="236" spans="18:20" ht="12.75">
      <c r="R236" s="284"/>
      <c r="S236" s="88"/>
      <c r="T236" s="88"/>
    </row>
    <row r="237" spans="19:20" ht="12.75">
      <c r="S237" s="88"/>
      <c r="T237" s="88"/>
    </row>
    <row r="238" spans="19:20" ht="12.75">
      <c r="S238" s="88"/>
      <c r="T238" s="88"/>
    </row>
    <row r="239" spans="1:20" ht="15">
      <c r="A239" s="967" t="s">
        <v>59</v>
      </c>
      <c r="B239" s="967"/>
      <c r="C239" s="967"/>
      <c r="D239" s="967"/>
      <c r="E239" s="967"/>
      <c r="F239" s="967"/>
      <c r="G239" s="967"/>
      <c r="H239" s="967"/>
      <c r="I239" s="967"/>
      <c r="J239" s="967"/>
      <c r="K239" s="967"/>
      <c r="L239" s="967"/>
      <c r="M239" s="967"/>
      <c r="N239" s="967"/>
      <c r="O239" s="967"/>
      <c r="P239" s="967"/>
      <c r="Q239" s="967"/>
      <c r="S239" s="88"/>
      <c r="T239" s="88"/>
    </row>
    <row r="240" spans="1:20" ht="13.5" thickBot="1">
      <c r="A240" s="968" t="s">
        <v>584</v>
      </c>
      <c r="B240" s="968"/>
      <c r="C240" s="968"/>
      <c r="D240" s="968"/>
      <c r="E240" s="968"/>
      <c r="F240" s="968"/>
      <c r="G240" s="968"/>
      <c r="H240" s="968"/>
      <c r="I240" s="968"/>
      <c r="J240" s="968"/>
      <c r="K240" s="968"/>
      <c r="L240" s="968"/>
      <c r="M240" s="968"/>
      <c r="N240" s="968"/>
      <c r="O240" s="968"/>
      <c r="P240" s="968"/>
      <c r="Q240" s="968"/>
      <c r="S240" s="88"/>
      <c r="T240" s="88"/>
    </row>
    <row r="241" spans="1:20" ht="12.75" customHeight="1">
      <c r="A241" s="952" t="s">
        <v>1</v>
      </c>
      <c r="B241" s="993" t="s">
        <v>0</v>
      </c>
      <c r="C241" s="996" t="s">
        <v>2</v>
      </c>
      <c r="D241" s="944" t="s">
        <v>3</v>
      </c>
      <c r="E241" s="944" t="s">
        <v>13</v>
      </c>
      <c r="F241" s="960" t="s">
        <v>14</v>
      </c>
      <c r="G241" s="961"/>
      <c r="H241" s="961"/>
      <c r="I241" s="962"/>
      <c r="J241" s="944" t="s">
        <v>4</v>
      </c>
      <c r="K241" s="944" t="s">
        <v>15</v>
      </c>
      <c r="L241" s="944" t="s">
        <v>5</v>
      </c>
      <c r="M241" s="944" t="s">
        <v>6</v>
      </c>
      <c r="N241" s="944" t="s">
        <v>16</v>
      </c>
      <c r="O241" s="969" t="s">
        <v>17</v>
      </c>
      <c r="P241" s="944" t="s">
        <v>25</v>
      </c>
      <c r="Q241" s="929" t="s">
        <v>26</v>
      </c>
      <c r="S241" s="88"/>
      <c r="T241" s="88"/>
    </row>
    <row r="242" spans="1:20" s="2" customFormat="1" ht="33.75">
      <c r="A242" s="953"/>
      <c r="B242" s="994"/>
      <c r="C242" s="997"/>
      <c r="D242" s="945"/>
      <c r="E242" s="945"/>
      <c r="F242" s="37" t="s">
        <v>18</v>
      </c>
      <c r="G242" s="37" t="s">
        <v>19</v>
      </c>
      <c r="H242" s="37" t="s">
        <v>20</v>
      </c>
      <c r="I242" s="37" t="s">
        <v>21</v>
      </c>
      <c r="J242" s="945"/>
      <c r="K242" s="945"/>
      <c r="L242" s="945"/>
      <c r="M242" s="945"/>
      <c r="N242" s="945"/>
      <c r="O242" s="970"/>
      <c r="P242" s="945"/>
      <c r="Q242" s="930"/>
      <c r="S242" s="88"/>
      <c r="T242" s="88"/>
    </row>
    <row r="243" spans="1:20" s="3" customFormat="1" ht="13.5" customHeight="1" thickBot="1">
      <c r="A243" s="954"/>
      <c r="B243" s="995"/>
      <c r="C243" s="998"/>
      <c r="D243" s="58" t="s">
        <v>7</v>
      </c>
      <c r="E243" s="58" t="s">
        <v>8</v>
      </c>
      <c r="F243" s="58" t="s">
        <v>9</v>
      </c>
      <c r="G243" s="58" t="s">
        <v>9</v>
      </c>
      <c r="H243" s="58" t="s">
        <v>9</v>
      </c>
      <c r="I243" s="58" t="s">
        <v>9</v>
      </c>
      <c r="J243" s="58" t="s">
        <v>22</v>
      </c>
      <c r="K243" s="58" t="s">
        <v>9</v>
      </c>
      <c r="L243" s="58" t="s">
        <v>22</v>
      </c>
      <c r="M243" s="58" t="s">
        <v>23</v>
      </c>
      <c r="N243" s="58" t="s">
        <v>10</v>
      </c>
      <c r="O243" s="58" t="s">
        <v>24</v>
      </c>
      <c r="P243" s="59" t="s">
        <v>27</v>
      </c>
      <c r="Q243" s="60" t="s">
        <v>28</v>
      </c>
      <c r="S243" s="88"/>
      <c r="T243" s="88"/>
    </row>
    <row r="244" spans="1:20" s="3" customFormat="1" ht="13.5" customHeight="1">
      <c r="A244" s="916" t="s">
        <v>307</v>
      </c>
      <c r="B244" s="233">
        <v>1</v>
      </c>
      <c r="C244" s="202" t="s">
        <v>328</v>
      </c>
      <c r="D244" s="159">
        <v>20</v>
      </c>
      <c r="E244" s="159">
        <v>2010</v>
      </c>
      <c r="F244" s="253">
        <v>14.94</v>
      </c>
      <c r="G244" s="253">
        <v>1.734</v>
      </c>
      <c r="H244" s="253">
        <v>0.8</v>
      </c>
      <c r="I244" s="253">
        <v>12.406</v>
      </c>
      <c r="J244" s="270">
        <v>935.41</v>
      </c>
      <c r="K244" s="253">
        <v>12.406</v>
      </c>
      <c r="L244" s="270">
        <v>935.41</v>
      </c>
      <c r="M244" s="173">
        <f>K244/L244</f>
        <v>0.013262633497610674</v>
      </c>
      <c r="N244" s="160">
        <v>331.578</v>
      </c>
      <c r="O244" s="164">
        <f>M244*N244</f>
        <v>4.397597489870752</v>
      </c>
      <c r="P244" s="164">
        <f>M244*60*1000</f>
        <v>795.7580098566405</v>
      </c>
      <c r="Q244" s="203">
        <f>P244*N244/1000</f>
        <v>263.8558493922451</v>
      </c>
      <c r="S244" s="88"/>
      <c r="T244" s="88"/>
    </row>
    <row r="245" spans="1:20" s="3" customFormat="1" ht="13.5" customHeight="1">
      <c r="A245" s="916"/>
      <c r="B245" s="121">
        <v>2</v>
      </c>
      <c r="C245" s="122"/>
      <c r="D245" s="261"/>
      <c r="E245" s="261"/>
      <c r="F245" s="261"/>
      <c r="G245" s="261"/>
      <c r="H245" s="261"/>
      <c r="I245" s="261"/>
      <c r="J245" s="261"/>
      <c r="K245" s="261"/>
      <c r="L245" s="261"/>
      <c r="M245" s="261"/>
      <c r="N245" s="261"/>
      <c r="O245" s="261"/>
      <c r="P245" s="261"/>
      <c r="Q245" s="263"/>
      <c r="S245" s="88"/>
      <c r="T245" s="88"/>
    </row>
    <row r="246" spans="1:20" s="3" customFormat="1" ht="13.5" customHeight="1">
      <c r="A246" s="916"/>
      <c r="B246" s="121">
        <v>3</v>
      </c>
      <c r="C246" s="122"/>
      <c r="D246" s="261"/>
      <c r="E246" s="261"/>
      <c r="F246" s="261"/>
      <c r="G246" s="261"/>
      <c r="H246" s="261"/>
      <c r="I246" s="261"/>
      <c r="J246" s="261"/>
      <c r="K246" s="261"/>
      <c r="L246" s="261"/>
      <c r="M246" s="261"/>
      <c r="N246" s="261"/>
      <c r="O246" s="261"/>
      <c r="P246" s="261"/>
      <c r="Q246" s="263"/>
      <c r="S246" s="88"/>
      <c r="T246" s="88"/>
    </row>
    <row r="247" spans="1:20" s="3" customFormat="1" ht="13.5" customHeight="1">
      <c r="A247" s="916"/>
      <c r="B247" s="121">
        <v>4</v>
      </c>
      <c r="C247" s="122"/>
      <c r="D247" s="261"/>
      <c r="E247" s="261"/>
      <c r="F247" s="261"/>
      <c r="G247" s="261"/>
      <c r="H247" s="261"/>
      <c r="I247" s="261"/>
      <c r="J247" s="261"/>
      <c r="K247" s="261"/>
      <c r="L247" s="261"/>
      <c r="M247" s="261"/>
      <c r="N247" s="261"/>
      <c r="O247" s="261"/>
      <c r="P247" s="261"/>
      <c r="Q247" s="263"/>
      <c r="S247" s="88"/>
      <c r="T247" s="88"/>
    </row>
    <row r="248" spans="1:20" s="3" customFormat="1" ht="13.5" customHeight="1">
      <c r="A248" s="916"/>
      <c r="B248" s="121">
        <v>5</v>
      </c>
      <c r="C248" s="122"/>
      <c r="D248" s="261"/>
      <c r="E248" s="261"/>
      <c r="F248" s="261"/>
      <c r="G248" s="261"/>
      <c r="H248" s="261"/>
      <c r="I248" s="261"/>
      <c r="J248" s="261"/>
      <c r="K248" s="261"/>
      <c r="L248" s="261"/>
      <c r="M248" s="261"/>
      <c r="N248" s="261"/>
      <c r="O248" s="261"/>
      <c r="P248" s="261"/>
      <c r="Q248" s="263"/>
      <c r="S248" s="88"/>
      <c r="T248" s="88"/>
    </row>
    <row r="249" spans="1:20" s="3" customFormat="1" ht="13.5" customHeight="1">
      <c r="A249" s="916"/>
      <c r="B249" s="121">
        <v>6</v>
      </c>
      <c r="C249" s="122"/>
      <c r="D249" s="261"/>
      <c r="E249" s="261"/>
      <c r="F249" s="261"/>
      <c r="G249" s="261"/>
      <c r="H249" s="261"/>
      <c r="I249" s="261"/>
      <c r="J249" s="261"/>
      <c r="K249" s="261"/>
      <c r="L249" s="261"/>
      <c r="M249" s="261"/>
      <c r="N249" s="261"/>
      <c r="O249" s="261"/>
      <c r="P249" s="261"/>
      <c r="Q249" s="263"/>
      <c r="S249" s="88"/>
      <c r="T249" s="88"/>
    </row>
    <row r="250" spans="1:20" s="3" customFormat="1" ht="13.5" customHeight="1">
      <c r="A250" s="916"/>
      <c r="B250" s="121">
        <v>7</v>
      </c>
      <c r="C250" s="122"/>
      <c r="D250" s="261"/>
      <c r="E250" s="261"/>
      <c r="F250" s="261"/>
      <c r="G250" s="261"/>
      <c r="H250" s="261"/>
      <c r="I250" s="261"/>
      <c r="J250" s="261"/>
      <c r="K250" s="261"/>
      <c r="L250" s="261"/>
      <c r="M250" s="261"/>
      <c r="N250" s="261"/>
      <c r="O250" s="261"/>
      <c r="P250" s="261"/>
      <c r="Q250" s="263"/>
      <c r="S250" s="88"/>
      <c r="T250" s="88"/>
    </row>
    <row r="251" spans="1:20" s="3" customFormat="1" ht="13.5" customHeight="1" thickBot="1">
      <c r="A251" s="917"/>
      <c r="B251" s="180">
        <v>8</v>
      </c>
      <c r="C251" s="252"/>
      <c r="D251" s="262"/>
      <c r="E251" s="262"/>
      <c r="F251" s="262"/>
      <c r="G251" s="262"/>
      <c r="H251" s="262"/>
      <c r="I251" s="262"/>
      <c r="J251" s="262"/>
      <c r="K251" s="262"/>
      <c r="L251" s="262"/>
      <c r="M251" s="262"/>
      <c r="N251" s="262"/>
      <c r="O251" s="262"/>
      <c r="P251" s="262"/>
      <c r="Q251" s="264"/>
      <c r="S251" s="88"/>
      <c r="T251" s="88"/>
    </row>
    <row r="252" spans="1:20" ht="12.75" customHeight="1">
      <c r="A252" s="949" t="s">
        <v>29</v>
      </c>
      <c r="B252" s="743">
        <v>1</v>
      </c>
      <c r="C252" s="709" t="s">
        <v>166</v>
      </c>
      <c r="D252" s="710">
        <v>38</v>
      </c>
      <c r="E252" s="710">
        <v>1982</v>
      </c>
      <c r="F252" s="712">
        <v>41.587</v>
      </c>
      <c r="G252" s="712">
        <v>3.006</v>
      </c>
      <c r="H252" s="712">
        <v>6.4</v>
      </c>
      <c r="I252" s="711">
        <v>32.1806</v>
      </c>
      <c r="J252" s="713">
        <v>2278.82</v>
      </c>
      <c r="K252" s="712">
        <v>30.38</v>
      </c>
      <c r="L252" s="713">
        <v>2160.52</v>
      </c>
      <c r="M252" s="714">
        <f aca="true" t="shared" si="54" ref="M252:M281">K252/L252</f>
        <v>0.014061429655823597</v>
      </c>
      <c r="N252" s="720">
        <v>331.578</v>
      </c>
      <c r="O252" s="716">
        <f aca="true" t="shared" si="55" ref="O252:O281">M252*N252</f>
        <v>4.662460722418676</v>
      </c>
      <c r="P252" s="716">
        <f aca="true" t="shared" si="56" ref="P252:P281">M252*60*1000</f>
        <v>843.6857793494158</v>
      </c>
      <c r="Q252" s="717">
        <f aca="true" t="shared" si="57" ref="Q252:Q281">P252*N252/1000</f>
        <v>279.7476433451206</v>
      </c>
      <c r="S252" s="88"/>
      <c r="T252" s="88"/>
    </row>
    <row r="253" spans="1:20" ht="11.25" customHeight="1">
      <c r="A253" s="950"/>
      <c r="B253" s="743">
        <v>2</v>
      </c>
      <c r="C253" s="709" t="s">
        <v>169</v>
      </c>
      <c r="D253" s="710">
        <v>40</v>
      </c>
      <c r="E253" s="710">
        <v>1987</v>
      </c>
      <c r="F253" s="711">
        <v>45.758</v>
      </c>
      <c r="G253" s="711">
        <v>4.488</v>
      </c>
      <c r="H253" s="711">
        <v>6.4</v>
      </c>
      <c r="I253" s="711">
        <v>34.87</v>
      </c>
      <c r="J253" s="719">
        <v>2280.42</v>
      </c>
      <c r="K253" s="711">
        <v>34.87</v>
      </c>
      <c r="L253" s="719">
        <v>2280.4</v>
      </c>
      <c r="M253" s="714">
        <f t="shared" si="54"/>
        <v>0.015291176986493595</v>
      </c>
      <c r="N253" s="720">
        <v>331.578</v>
      </c>
      <c r="O253" s="716">
        <f t="shared" si="55"/>
        <v>5.070217882827573</v>
      </c>
      <c r="P253" s="716">
        <f t="shared" si="56"/>
        <v>917.4706191896157</v>
      </c>
      <c r="Q253" s="717">
        <f t="shared" si="57"/>
        <v>304.2130729696544</v>
      </c>
      <c r="S253" s="88"/>
      <c r="T253" s="88"/>
    </row>
    <row r="254" spans="1:20" ht="12.75" customHeight="1">
      <c r="A254" s="950"/>
      <c r="B254" s="725">
        <v>3</v>
      </c>
      <c r="C254" s="878" t="s">
        <v>164</v>
      </c>
      <c r="D254" s="873">
        <v>50</v>
      </c>
      <c r="E254" s="873">
        <v>1974</v>
      </c>
      <c r="F254" s="711">
        <v>52.457</v>
      </c>
      <c r="G254" s="711">
        <v>3.774</v>
      </c>
      <c r="H254" s="711">
        <v>8</v>
      </c>
      <c r="I254" s="711">
        <v>40.683</v>
      </c>
      <c r="J254" s="719">
        <v>2591.85</v>
      </c>
      <c r="K254" s="711">
        <v>40.683</v>
      </c>
      <c r="L254" s="719">
        <v>2591.85</v>
      </c>
      <c r="M254" s="721">
        <f t="shared" si="54"/>
        <v>0.0156965102147115</v>
      </c>
      <c r="N254" s="720">
        <v>331.578</v>
      </c>
      <c r="O254" s="716">
        <f t="shared" si="55"/>
        <v>5.204617463973609</v>
      </c>
      <c r="P254" s="716">
        <f t="shared" si="56"/>
        <v>941.79061288269</v>
      </c>
      <c r="Q254" s="722">
        <f t="shared" si="57"/>
        <v>312.27704783841654</v>
      </c>
      <c r="S254" s="88"/>
      <c r="T254" s="88"/>
    </row>
    <row r="255" spans="1:20" ht="12.75" customHeight="1">
      <c r="A255" s="950"/>
      <c r="B255" s="725">
        <v>4</v>
      </c>
      <c r="C255" s="709" t="s">
        <v>167</v>
      </c>
      <c r="D255" s="710">
        <v>19</v>
      </c>
      <c r="E255" s="710">
        <v>1984</v>
      </c>
      <c r="F255" s="711">
        <v>21.283</v>
      </c>
      <c r="G255" s="711">
        <v>1.887</v>
      </c>
      <c r="H255" s="711">
        <v>3.04</v>
      </c>
      <c r="I255" s="711">
        <v>16.356</v>
      </c>
      <c r="J255" s="719">
        <v>1053.81</v>
      </c>
      <c r="K255" s="711">
        <v>16.19</v>
      </c>
      <c r="L255" s="719">
        <v>994.89</v>
      </c>
      <c r="M255" s="721">
        <f t="shared" si="54"/>
        <v>0.016273155826272253</v>
      </c>
      <c r="N255" s="720">
        <v>331.578</v>
      </c>
      <c r="O255" s="723">
        <f t="shared" si="55"/>
        <v>5.395820462563701</v>
      </c>
      <c r="P255" s="716">
        <f t="shared" si="56"/>
        <v>976.3893495763351</v>
      </c>
      <c r="Q255" s="722">
        <f t="shared" si="57"/>
        <v>323.74922775382197</v>
      </c>
      <c r="S255" s="88"/>
      <c r="T255" s="88"/>
    </row>
    <row r="256" spans="1:20" ht="12.75" customHeight="1">
      <c r="A256" s="950"/>
      <c r="B256" s="725">
        <v>5</v>
      </c>
      <c r="C256" s="709" t="s">
        <v>585</v>
      </c>
      <c r="D256" s="710">
        <v>50</v>
      </c>
      <c r="E256" s="710">
        <v>1980</v>
      </c>
      <c r="F256" s="711">
        <v>61.901</v>
      </c>
      <c r="G256" s="711">
        <v>4.233</v>
      </c>
      <c r="H256" s="711">
        <v>8</v>
      </c>
      <c r="I256" s="711">
        <v>49.668</v>
      </c>
      <c r="J256" s="719">
        <v>3015.29</v>
      </c>
      <c r="K256" s="711">
        <v>49.668</v>
      </c>
      <c r="L256" s="719">
        <v>3015.29</v>
      </c>
      <c r="M256" s="721">
        <f t="shared" si="54"/>
        <v>0.016472047464754634</v>
      </c>
      <c r="N256" s="720">
        <v>331.578</v>
      </c>
      <c r="O256" s="723">
        <f t="shared" si="55"/>
        <v>5.461768554268412</v>
      </c>
      <c r="P256" s="716">
        <f t="shared" si="56"/>
        <v>988.3228478852781</v>
      </c>
      <c r="Q256" s="722">
        <f t="shared" si="57"/>
        <v>327.7061132561047</v>
      </c>
      <c r="S256" s="88"/>
      <c r="T256" s="88"/>
    </row>
    <row r="257" spans="1:20" ht="12.75" customHeight="1">
      <c r="A257" s="950"/>
      <c r="B257" s="725">
        <v>6</v>
      </c>
      <c r="C257" s="878" t="s">
        <v>163</v>
      </c>
      <c r="D257" s="873">
        <v>40</v>
      </c>
      <c r="E257" s="873">
        <v>1981</v>
      </c>
      <c r="F257" s="711">
        <v>50.097</v>
      </c>
      <c r="G257" s="711">
        <v>3.825</v>
      </c>
      <c r="H257" s="711">
        <v>6.4</v>
      </c>
      <c r="I257" s="711">
        <v>39.872</v>
      </c>
      <c r="J257" s="719">
        <v>2251.3</v>
      </c>
      <c r="K257" s="711">
        <v>39.872</v>
      </c>
      <c r="L257" s="719">
        <v>2251.3</v>
      </c>
      <c r="M257" s="721">
        <f t="shared" si="54"/>
        <v>0.017710656065384443</v>
      </c>
      <c r="N257" s="720">
        <v>331.578</v>
      </c>
      <c r="O257" s="723">
        <f t="shared" si="55"/>
        <v>5.872463916848043</v>
      </c>
      <c r="P257" s="716">
        <f t="shared" si="56"/>
        <v>1062.6393639230664</v>
      </c>
      <c r="Q257" s="722">
        <f t="shared" si="57"/>
        <v>352.3478350108825</v>
      </c>
      <c r="S257" s="88"/>
      <c r="T257" s="88"/>
    </row>
    <row r="258" spans="1:20" ht="12.75" customHeight="1">
      <c r="A258" s="950"/>
      <c r="B258" s="725">
        <v>7</v>
      </c>
      <c r="C258" s="709" t="s">
        <v>165</v>
      </c>
      <c r="D258" s="710">
        <v>40</v>
      </c>
      <c r="E258" s="710">
        <v>1984</v>
      </c>
      <c r="F258" s="711">
        <v>50.929</v>
      </c>
      <c r="G258" s="711">
        <v>3.417</v>
      </c>
      <c r="H258" s="711">
        <v>6.4</v>
      </c>
      <c r="I258" s="711">
        <v>41.112</v>
      </c>
      <c r="J258" s="719">
        <v>2269.42</v>
      </c>
      <c r="K258" s="711">
        <v>41.112</v>
      </c>
      <c r="L258" s="719">
        <v>2269.42</v>
      </c>
      <c r="M258" s="721">
        <f t="shared" si="54"/>
        <v>0.018115641882066782</v>
      </c>
      <c r="N258" s="720">
        <v>331.578</v>
      </c>
      <c r="O258" s="723">
        <f t="shared" si="55"/>
        <v>6.006748303971939</v>
      </c>
      <c r="P258" s="716">
        <f t="shared" si="56"/>
        <v>1086.938512924007</v>
      </c>
      <c r="Q258" s="722">
        <f t="shared" si="57"/>
        <v>360.4048982383164</v>
      </c>
      <c r="S258" s="88"/>
      <c r="T258" s="88"/>
    </row>
    <row r="259" spans="1:20" ht="12.75" customHeight="1">
      <c r="A259" s="950"/>
      <c r="B259" s="725">
        <v>8</v>
      </c>
      <c r="C259" s="709" t="s">
        <v>168</v>
      </c>
      <c r="D259" s="710">
        <v>20</v>
      </c>
      <c r="E259" s="710">
        <v>1969</v>
      </c>
      <c r="F259" s="711">
        <v>27.21</v>
      </c>
      <c r="G259" s="711">
        <v>1.173</v>
      </c>
      <c r="H259" s="711">
        <v>3.2</v>
      </c>
      <c r="I259" s="711">
        <v>22.837</v>
      </c>
      <c r="J259" s="719">
        <v>1259.31</v>
      </c>
      <c r="K259" s="711">
        <v>22.837</v>
      </c>
      <c r="L259" s="719">
        <v>1259.31</v>
      </c>
      <c r="M259" s="721">
        <f t="shared" si="54"/>
        <v>0.01813453399083625</v>
      </c>
      <c r="N259" s="720">
        <v>331.578</v>
      </c>
      <c r="O259" s="723">
        <f t="shared" si="55"/>
        <v>6.013012511613502</v>
      </c>
      <c r="P259" s="716">
        <f t="shared" si="56"/>
        <v>1088.072039450175</v>
      </c>
      <c r="Q259" s="722">
        <f t="shared" si="57"/>
        <v>360.78075069681006</v>
      </c>
      <c r="S259" s="88"/>
      <c r="T259" s="88"/>
    </row>
    <row r="260" spans="1:20" ht="13.5" customHeight="1">
      <c r="A260" s="950"/>
      <c r="B260" s="725">
        <v>9</v>
      </c>
      <c r="C260" s="709" t="s">
        <v>170</v>
      </c>
      <c r="D260" s="710">
        <v>40</v>
      </c>
      <c r="E260" s="710">
        <v>1983</v>
      </c>
      <c r="F260" s="711">
        <v>50.531</v>
      </c>
      <c r="G260" s="711">
        <v>3.06</v>
      </c>
      <c r="H260" s="711">
        <v>6.4</v>
      </c>
      <c r="I260" s="711">
        <v>41.071</v>
      </c>
      <c r="J260" s="719">
        <v>2254.6</v>
      </c>
      <c r="K260" s="711">
        <v>41.071</v>
      </c>
      <c r="L260" s="719">
        <v>2254.6</v>
      </c>
      <c r="M260" s="721">
        <f t="shared" si="54"/>
        <v>0.018216535083828617</v>
      </c>
      <c r="N260" s="720">
        <v>331.578</v>
      </c>
      <c r="O260" s="723">
        <f t="shared" si="55"/>
        <v>6.040202270025724</v>
      </c>
      <c r="P260" s="716">
        <f t="shared" si="56"/>
        <v>1092.992105029717</v>
      </c>
      <c r="Q260" s="722">
        <f t="shared" si="57"/>
        <v>362.4121362015435</v>
      </c>
      <c r="S260" s="88"/>
      <c r="T260" s="88"/>
    </row>
    <row r="261" spans="1:20" ht="13.5" customHeight="1" thickBot="1">
      <c r="A261" s="951"/>
      <c r="B261" s="734">
        <v>10</v>
      </c>
      <c r="C261" s="745" t="s">
        <v>329</v>
      </c>
      <c r="D261" s="746">
        <v>40</v>
      </c>
      <c r="E261" s="746">
        <v>1979</v>
      </c>
      <c r="F261" s="747">
        <v>49.553</v>
      </c>
      <c r="G261" s="747">
        <v>2.805</v>
      </c>
      <c r="H261" s="747">
        <v>6.24</v>
      </c>
      <c r="I261" s="747">
        <v>40.508</v>
      </c>
      <c r="J261" s="748">
        <v>2257.74</v>
      </c>
      <c r="K261" s="747">
        <v>40.29</v>
      </c>
      <c r="L261" s="748">
        <v>2180.68</v>
      </c>
      <c r="M261" s="749">
        <f t="shared" si="54"/>
        <v>0.018475888255039714</v>
      </c>
      <c r="N261" s="757">
        <v>331.578</v>
      </c>
      <c r="O261" s="750">
        <f t="shared" si="55"/>
        <v>6.126198075829558</v>
      </c>
      <c r="P261" s="750">
        <f t="shared" si="56"/>
        <v>1108.5532953023828</v>
      </c>
      <c r="Q261" s="751">
        <f t="shared" si="57"/>
        <v>367.5718845497735</v>
      </c>
      <c r="S261" s="88"/>
      <c r="T261" s="88"/>
    </row>
    <row r="262" spans="1:20" ht="12.75">
      <c r="A262" s="963" t="s">
        <v>30</v>
      </c>
      <c r="B262" s="32">
        <v>1</v>
      </c>
      <c r="C262" s="215" t="s">
        <v>173</v>
      </c>
      <c r="D262" s="217">
        <v>21</v>
      </c>
      <c r="E262" s="217">
        <v>1986</v>
      </c>
      <c r="F262" s="313">
        <v>32.369</v>
      </c>
      <c r="G262" s="313">
        <v>1.989</v>
      </c>
      <c r="H262" s="313">
        <v>3.52</v>
      </c>
      <c r="I262" s="313">
        <v>26.86</v>
      </c>
      <c r="J262" s="276">
        <v>1160.21</v>
      </c>
      <c r="K262" s="313">
        <v>25.4</v>
      </c>
      <c r="L262" s="390">
        <v>1097.3</v>
      </c>
      <c r="M262" s="209">
        <f t="shared" si="54"/>
        <v>0.023147726237127495</v>
      </c>
      <c r="N262" s="147">
        <v>331.578</v>
      </c>
      <c r="O262" s="208">
        <f t="shared" si="55"/>
        <v>7.67527677025426</v>
      </c>
      <c r="P262" s="208">
        <f t="shared" si="56"/>
        <v>1388.8635742276497</v>
      </c>
      <c r="Q262" s="210">
        <f t="shared" si="57"/>
        <v>460.5166062152556</v>
      </c>
      <c r="S262" s="88"/>
      <c r="T262" s="88"/>
    </row>
    <row r="263" spans="1:20" ht="12.75">
      <c r="A263" s="938"/>
      <c r="B263" s="34">
        <v>2</v>
      </c>
      <c r="C263" s="205" t="s">
        <v>172</v>
      </c>
      <c r="D263" s="135">
        <v>12</v>
      </c>
      <c r="E263" s="135">
        <v>1980</v>
      </c>
      <c r="F263" s="222">
        <v>14.561</v>
      </c>
      <c r="G263" s="222">
        <v>0.765</v>
      </c>
      <c r="H263" s="222">
        <v>1.6</v>
      </c>
      <c r="I263" s="222">
        <v>12.196</v>
      </c>
      <c r="J263" s="277">
        <v>587.63</v>
      </c>
      <c r="K263" s="222">
        <v>11.83</v>
      </c>
      <c r="L263" s="277">
        <v>468.68</v>
      </c>
      <c r="M263" s="146">
        <f t="shared" si="54"/>
        <v>0.02524110267133225</v>
      </c>
      <c r="N263" s="147">
        <v>331.578</v>
      </c>
      <c r="O263" s="148">
        <f t="shared" si="55"/>
        <v>8.369394341555005</v>
      </c>
      <c r="P263" s="208">
        <f t="shared" si="56"/>
        <v>1514.4661602799351</v>
      </c>
      <c r="Q263" s="149">
        <f t="shared" si="57"/>
        <v>502.1636604933003</v>
      </c>
      <c r="S263" s="88"/>
      <c r="T263" s="88"/>
    </row>
    <row r="264" spans="1:20" ht="12.75">
      <c r="A264" s="938"/>
      <c r="B264" s="34">
        <v>3</v>
      </c>
      <c r="C264" s="205" t="s">
        <v>586</v>
      </c>
      <c r="D264" s="135">
        <v>3</v>
      </c>
      <c r="E264" s="135">
        <v>1939</v>
      </c>
      <c r="F264" s="222">
        <v>6.007</v>
      </c>
      <c r="G264" s="222">
        <v>0.204</v>
      </c>
      <c r="H264" s="222">
        <v>0.04</v>
      </c>
      <c r="I264" s="222">
        <v>5.763</v>
      </c>
      <c r="J264" s="277">
        <v>226.57</v>
      </c>
      <c r="K264" s="222">
        <v>2.91</v>
      </c>
      <c r="L264" s="277">
        <v>114.54</v>
      </c>
      <c r="M264" s="146">
        <f t="shared" si="54"/>
        <v>0.02540597171293871</v>
      </c>
      <c r="N264" s="147">
        <v>331.578</v>
      </c>
      <c r="O264" s="148">
        <f t="shared" si="55"/>
        <v>8.42406128863279</v>
      </c>
      <c r="P264" s="208">
        <f t="shared" si="56"/>
        <v>1524.3583027763225</v>
      </c>
      <c r="Q264" s="149">
        <f t="shared" si="57"/>
        <v>505.4436773179674</v>
      </c>
      <c r="S264" s="88"/>
      <c r="T264" s="88"/>
    </row>
    <row r="265" spans="1:20" ht="12.75">
      <c r="A265" s="938"/>
      <c r="B265" s="34">
        <v>4</v>
      </c>
      <c r="C265" s="205" t="s">
        <v>587</v>
      </c>
      <c r="D265" s="135">
        <v>12</v>
      </c>
      <c r="E265" s="135">
        <v>1980</v>
      </c>
      <c r="F265" s="222">
        <v>17.483</v>
      </c>
      <c r="G265" s="222">
        <v>0.612</v>
      </c>
      <c r="H265" s="222">
        <v>1.92</v>
      </c>
      <c r="I265" s="222">
        <v>14.951</v>
      </c>
      <c r="J265" s="277">
        <v>584.73</v>
      </c>
      <c r="K265" s="222">
        <v>14.951</v>
      </c>
      <c r="L265" s="277">
        <v>584.73</v>
      </c>
      <c r="M265" s="146">
        <f t="shared" si="54"/>
        <v>0.025569066064679426</v>
      </c>
      <c r="N265" s="147">
        <v>331.578</v>
      </c>
      <c r="O265" s="148">
        <f t="shared" si="55"/>
        <v>8.478139787594275</v>
      </c>
      <c r="P265" s="208">
        <f t="shared" si="56"/>
        <v>1534.1439638807656</v>
      </c>
      <c r="Q265" s="149">
        <f t="shared" si="57"/>
        <v>508.6883872556565</v>
      </c>
      <c r="S265" s="88"/>
      <c r="T265" s="88"/>
    </row>
    <row r="266" spans="1:20" ht="12.75">
      <c r="A266" s="938"/>
      <c r="B266" s="34">
        <v>5</v>
      </c>
      <c r="C266" s="205" t="s">
        <v>179</v>
      </c>
      <c r="D266" s="135">
        <v>9</v>
      </c>
      <c r="E266" s="135">
        <v>1925</v>
      </c>
      <c r="F266" s="222">
        <v>12.19</v>
      </c>
      <c r="G266" s="222">
        <v>0.408</v>
      </c>
      <c r="H266" s="222">
        <v>1.6</v>
      </c>
      <c r="I266" s="222">
        <v>10.182</v>
      </c>
      <c r="J266" s="277">
        <v>429.49</v>
      </c>
      <c r="K266" s="222">
        <v>9.81</v>
      </c>
      <c r="L266" s="277">
        <v>363.62</v>
      </c>
      <c r="M266" s="146">
        <f t="shared" si="54"/>
        <v>0.026978714042131896</v>
      </c>
      <c r="N266" s="147">
        <v>331.578</v>
      </c>
      <c r="O266" s="148">
        <f t="shared" si="55"/>
        <v>8.94554804466201</v>
      </c>
      <c r="P266" s="208">
        <f t="shared" si="56"/>
        <v>1618.7228425279136</v>
      </c>
      <c r="Q266" s="149">
        <f t="shared" si="57"/>
        <v>536.7328826797205</v>
      </c>
      <c r="S266" s="88"/>
      <c r="T266" s="88"/>
    </row>
    <row r="267" spans="1:20" ht="12.75">
      <c r="A267" s="938"/>
      <c r="B267" s="34">
        <v>6</v>
      </c>
      <c r="C267" s="205" t="s">
        <v>588</v>
      </c>
      <c r="D267" s="135">
        <v>24</v>
      </c>
      <c r="E267" s="135">
        <v>1960</v>
      </c>
      <c r="F267" s="222">
        <v>35.27</v>
      </c>
      <c r="G267" s="222">
        <v>1.377</v>
      </c>
      <c r="H267" s="222">
        <v>3.84</v>
      </c>
      <c r="I267" s="222">
        <v>30.053</v>
      </c>
      <c r="J267" s="277">
        <v>1110.04</v>
      </c>
      <c r="K267" s="222">
        <v>28.79</v>
      </c>
      <c r="L267" s="277">
        <v>1063.22</v>
      </c>
      <c r="M267" s="146">
        <f t="shared" si="54"/>
        <v>0.027078121179059837</v>
      </c>
      <c r="N267" s="147">
        <v>331.578</v>
      </c>
      <c r="O267" s="148">
        <f t="shared" si="55"/>
        <v>8.978509264310302</v>
      </c>
      <c r="P267" s="208">
        <f t="shared" si="56"/>
        <v>1624.6872707435903</v>
      </c>
      <c r="Q267" s="149">
        <f t="shared" si="57"/>
        <v>538.7105558586181</v>
      </c>
      <c r="S267" s="88"/>
      <c r="T267" s="88"/>
    </row>
    <row r="268" spans="1:20" ht="12.75">
      <c r="A268" s="938"/>
      <c r="B268" s="34">
        <v>7</v>
      </c>
      <c r="C268" s="205" t="s">
        <v>174</v>
      </c>
      <c r="D268" s="135">
        <v>3</v>
      </c>
      <c r="E268" s="135">
        <v>1900</v>
      </c>
      <c r="F268" s="222">
        <v>16.545</v>
      </c>
      <c r="G268" s="222">
        <v>0.663</v>
      </c>
      <c r="H268" s="222">
        <v>1.92</v>
      </c>
      <c r="I268" s="222">
        <v>13.962</v>
      </c>
      <c r="J268" s="277">
        <v>558.26</v>
      </c>
      <c r="K268" s="222">
        <v>13.63</v>
      </c>
      <c r="L268" s="277">
        <v>485.29</v>
      </c>
      <c r="M268" s="146">
        <f t="shared" si="54"/>
        <v>0.028086298914051393</v>
      </c>
      <c r="N268" s="147">
        <v>331.578</v>
      </c>
      <c r="O268" s="148">
        <f t="shared" si="55"/>
        <v>9.312798821323332</v>
      </c>
      <c r="P268" s="208">
        <f t="shared" si="56"/>
        <v>1685.1779348430834</v>
      </c>
      <c r="Q268" s="149">
        <f t="shared" si="57"/>
        <v>558.7679292793999</v>
      </c>
      <c r="S268" s="88"/>
      <c r="T268" s="88"/>
    </row>
    <row r="269" spans="1:20" ht="12.75">
      <c r="A269" s="938"/>
      <c r="B269" s="34">
        <v>8</v>
      </c>
      <c r="C269" s="205" t="s">
        <v>182</v>
      </c>
      <c r="D269" s="135">
        <v>19</v>
      </c>
      <c r="E269" s="135">
        <v>1961</v>
      </c>
      <c r="F269" s="222">
        <v>26.992</v>
      </c>
      <c r="G269" s="222">
        <v>1.377</v>
      </c>
      <c r="H269" s="222">
        <v>0.21</v>
      </c>
      <c r="I269" s="222">
        <v>25.405</v>
      </c>
      <c r="J269" s="277">
        <v>886.26</v>
      </c>
      <c r="K269" s="222">
        <v>19.18</v>
      </c>
      <c r="L269" s="277">
        <v>669.1</v>
      </c>
      <c r="M269" s="146">
        <f t="shared" si="54"/>
        <v>0.028665371394410402</v>
      </c>
      <c r="N269" s="147">
        <v>331.578</v>
      </c>
      <c r="O269" s="148">
        <f t="shared" si="55"/>
        <v>9.504806516215812</v>
      </c>
      <c r="P269" s="208">
        <f t="shared" si="56"/>
        <v>1719.9222836646243</v>
      </c>
      <c r="Q269" s="149">
        <f t="shared" si="57"/>
        <v>570.2883909729487</v>
      </c>
      <c r="S269" s="88"/>
      <c r="T269" s="88"/>
    </row>
    <row r="270" spans="1:20" ht="12.75">
      <c r="A270" s="939"/>
      <c r="B270" s="266">
        <v>9</v>
      </c>
      <c r="C270" s="205" t="s">
        <v>178</v>
      </c>
      <c r="D270" s="135">
        <v>4</v>
      </c>
      <c r="E270" s="135">
        <v>1930</v>
      </c>
      <c r="F270" s="222">
        <v>9.797</v>
      </c>
      <c r="G270" s="222">
        <v>0.51</v>
      </c>
      <c r="H270" s="222">
        <v>0.07</v>
      </c>
      <c r="I270" s="222">
        <v>9.217</v>
      </c>
      <c r="J270" s="277">
        <v>319.18</v>
      </c>
      <c r="K270" s="222">
        <v>4.62</v>
      </c>
      <c r="L270" s="277">
        <v>159.84</v>
      </c>
      <c r="M270" s="146">
        <f t="shared" si="54"/>
        <v>0.028903903903903905</v>
      </c>
      <c r="N270" s="147">
        <v>331.578</v>
      </c>
      <c r="O270" s="148">
        <f t="shared" si="55"/>
        <v>9.583898648648649</v>
      </c>
      <c r="P270" s="208">
        <f t="shared" si="56"/>
        <v>1734.2342342342342</v>
      </c>
      <c r="Q270" s="149">
        <f t="shared" si="57"/>
        <v>575.0339189189189</v>
      </c>
      <c r="S270" s="88"/>
      <c r="T270" s="88"/>
    </row>
    <row r="271" spans="1:20" ht="13.5" thickBot="1">
      <c r="A271" s="940"/>
      <c r="B271" s="36">
        <v>10</v>
      </c>
      <c r="C271" s="216" t="s">
        <v>177</v>
      </c>
      <c r="D271" s="136">
        <v>4</v>
      </c>
      <c r="E271" s="136">
        <v>1947</v>
      </c>
      <c r="F271" s="312">
        <v>8.811</v>
      </c>
      <c r="G271" s="312">
        <v>0.306</v>
      </c>
      <c r="H271" s="312">
        <v>0.72</v>
      </c>
      <c r="I271" s="312">
        <v>7.85</v>
      </c>
      <c r="J271" s="278">
        <v>256.84</v>
      </c>
      <c r="K271" s="312">
        <v>6.79</v>
      </c>
      <c r="L271" s="278">
        <v>224.01</v>
      </c>
      <c r="M271" s="211">
        <f t="shared" si="54"/>
        <v>0.03031114682380251</v>
      </c>
      <c r="N271" s="221">
        <v>331.578</v>
      </c>
      <c r="O271" s="212">
        <f t="shared" si="55"/>
        <v>10.050509441542788</v>
      </c>
      <c r="P271" s="212">
        <f t="shared" si="56"/>
        <v>1818.6688094281506</v>
      </c>
      <c r="Q271" s="213">
        <f t="shared" si="57"/>
        <v>603.0305664925673</v>
      </c>
      <c r="S271" s="88"/>
      <c r="T271" s="88"/>
    </row>
    <row r="272" spans="1:20" ht="12.75">
      <c r="A272" s="964" t="s">
        <v>12</v>
      </c>
      <c r="B272" s="39">
        <v>1</v>
      </c>
      <c r="C272" s="166" t="s">
        <v>330</v>
      </c>
      <c r="D272" s="167">
        <v>12</v>
      </c>
      <c r="E272" s="167">
        <v>1968</v>
      </c>
      <c r="F272" s="250">
        <v>14.953</v>
      </c>
      <c r="G272" s="250">
        <v>0.459</v>
      </c>
      <c r="H272" s="250">
        <v>0.08</v>
      </c>
      <c r="I272" s="250">
        <v>14.414</v>
      </c>
      <c r="J272" s="274">
        <v>490.3</v>
      </c>
      <c r="K272" s="250">
        <v>13.03</v>
      </c>
      <c r="L272" s="391">
        <v>410.4</v>
      </c>
      <c r="M272" s="170">
        <f t="shared" si="54"/>
        <v>0.031749512670565305</v>
      </c>
      <c r="N272" s="151">
        <v>331.578</v>
      </c>
      <c r="O272" s="171">
        <f t="shared" si="55"/>
        <v>10.527439912280702</v>
      </c>
      <c r="P272" s="171">
        <f t="shared" si="56"/>
        <v>1904.9707602339183</v>
      </c>
      <c r="Q272" s="172">
        <f t="shared" si="57"/>
        <v>631.6463947368421</v>
      </c>
      <c r="S272" s="88"/>
      <c r="T272" s="88"/>
    </row>
    <row r="273" spans="1:20" ht="12.75">
      <c r="A273" s="965"/>
      <c r="B273" s="41">
        <v>2</v>
      </c>
      <c r="C273" s="169" t="s">
        <v>176</v>
      </c>
      <c r="D273" s="137">
        <v>6</v>
      </c>
      <c r="E273" s="137">
        <v>1930</v>
      </c>
      <c r="F273" s="218">
        <v>9.899</v>
      </c>
      <c r="G273" s="218">
        <v>0.204</v>
      </c>
      <c r="H273" s="218">
        <v>0.8</v>
      </c>
      <c r="I273" s="218">
        <v>8.895</v>
      </c>
      <c r="J273" s="275">
        <v>323.39</v>
      </c>
      <c r="K273" s="218">
        <v>8.66</v>
      </c>
      <c r="L273" s="275">
        <v>266.7</v>
      </c>
      <c r="M273" s="150">
        <f t="shared" si="54"/>
        <v>0.032470941132358454</v>
      </c>
      <c r="N273" s="151">
        <v>331.578</v>
      </c>
      <c r="O273" s="152">
        <f t="shared" si="55"/>
        <v>10.76664971878515</v>
      </c>
      <c r="P273" s="171">
        <f t="shared" si="56"/>
        <v>1948.2564679415073</v>
      </c>
      <c r="Q273" s="153">
        <f t="shared" si="57"/>
        <v>645.998983127109</v>
      </c>
      <c r="S273" s="88"/>
      <c r="T273" s="88"/>
    </row>
    <row r="274" spans="1:20" ht="12.75">
      <c r="A274" s="965"/>
      <c r="B274" s="41">
        <v>3</v>
      </c>
      <c r="C274" s="169" t="s">
        <v>181</v>
      </c>
      <c r="D274" s="137">
        <v>11</v>
      </c>
      <c r="E274" s="137">
        <v>1961</v>
      </c>
      <c r="F274" s="218">
        <v>17.931</v>
      </c>
      <c r="G274" s="218">
        <v>0.714</v>
      </c>
      <c r="H274" s="218">
        <v>0.11</v>
      </c>
      <c r="I274" s="218">
        <v>17.107</v>
      </c>
      <c r="J274" s="275">
        <v>524.32</v>
      </c>
      <c r="K274" s="218">
        <v>15.49</v>
      </c>
      <c r="L274" s="275">
        <v>474.9</v>
      </c>
      <c r="M274" s="150">
        <f t="shared" si="54"/>
        <v>0.032617393135396924</v>
      </c>
      <c r="N274" s="151">
        <v>331.578</v>
      </c>
      <c r="O274" s="152">
        <f t="shared" si="55"/>
        <v>10.81520998104864</v>
      </c>
      <c r="P274" s="171">
        <f t="shared" si="56"/>
        <v>1957.0435881238154</v>
      </c>
      <c r="Q274" s="153">
        <f t="shared" si="57"/>
        <v>648.9125988629185</v>
      </c>
      <c r="S274" s="88"/>
      <c r="T274" s="88"/>
    </row>
    <row r="275" spans="1:20" ht="12.75">
      <c r="A275" s="965"/>
      <c r="B275" s="41">
        <v>4</v>
      </c>
      <c r="C275" s="169" t="s">
        <v>175</v>
      </c>
      <c r="D275" s="137">
        <v>6</v>
      </c>
      <c r="E275" s="137">
        <v>1910</v>
      </c>
      <c r="F275" s="218">
        <v>11.205</v>
      </c>
      <c r="G275" s="218">
        <v>0.306</v>
      </c>
      <c r="H275" s="218">
        <v>0.96</v>
      </c>
      <c r="I275" s="218">
        <v>9.939</v>
      </c>
      <c r="J275" s="275">
        <v>303.9</v>
      </c>
      <c r="K275" s="218">
        <v>9.939</v>
      </c>
      <c r="L275" s="275">
        <v>303.9</v>
      </c>
      <c r="M275" s="150">
        <f t="shared" si="54"/>
        <v>0.03270483711747286</v>
      </c>
      <c r="N275" s="151">
        <v>331.578</v>
      </c>
      <c r="O275" s="152">
        <f t="shared" si="55"/>
        <v>10.844204481737414</v>
      </c>
      <c r="P275" s="171">
        <f t="shared" si="56"/>
        <v>1962.2902270483714</v>
      </c>
      <c r="Q275" s="153">
        <f t="shared" si="57"/>
        <v>650.6522689042449</v>
      </c>
      <c r="S275" s="88"/>
      <c r="T275" s="88"/>
    </row>
    <row r="276" spans="1:20" ht="12.75">
      <c r="A276" s="965"/>
      <c r="B276" s="41">
        <v>5</v>
      </c>
      <c r="C276" s="169" t="s">
        <v>183</v>
      </c>
      <c r="D276" s="137">
        <v>12</v>
      </c>
      <c r="E276" s="137">
        <v>1962</v>
      </c>
      <c r="F276" s="218">
        <v>22.232</v>
      </c>
      <c r="G276" s="218">
        <v>0.306</v>
      </c>
      <c r="H276" s="218">
        <v>0.14</v>
      </c>
      <c r="I276" s="218">
        <v>21.786</v>
      </c>
      <c r="J276" s="275">
        <v>864.16</v>
      </c>
      <c r="K276" s="218">
        <v>18.06</v>
      </c>
      <c r="L276" s="275">
        <v>544.13</v>
      </c>
      <c r="M276" s="150">
        <f t="shared" si="54"/>
        <v>0.03319059783507618</v>
      </c>
      <c r="N276" s="151">
        <v>331.578</v>
      </c>
      <c r="O276" s="152">
        <f t="shared" si="55"/>
        <v>11.005272048958888</v>
      </c>
      <c r="P276" s="171">
        <f t="shared" si="56"/>
        <v>1991.4358701045708</v>
      </c>
      <c r="Q276" s="153">
        <f t="shared" si="57"/>
        <v>660.3163229375333</v>
      </c>
      <c r="S276" s="88"/>
      <c r="T276" s="88"/>
    </row>
    <row r="277" spans="1:20" ht="12.75">
      <c r="A277" s="965"/>
      <c r="B277" s="41">
        <v>6</v>
      </c>
      <c r="C277" s="169" t="s">
        <v>171</v>
      </c>
      <c r="D277" s="137">
        <v>4</v>
      </c>
      <c r="E277" s="137">
        <v>1914</v>
      </c>
      <c r="F277" s="218">
        <v>7.823</v>
      </c>
      <c r="G277" s="218">
        <v>0.255</v>
      </c>
      <c r="H277" s="218">
        <v>0.64</v>
      </c>
      <c r="I277" s="218">
        <v>6.928</v>
      </c>
      <c r="J277" s="275">
        <v>203.32</v>
      </c>
      <c r="K277" s="218">
        <v>5.15</v>
      </c>
      <c r="L277" s="275">
        <v>151.17</v>
      </c>
      <c r="M277" s="150">
        <f t="shared" si="54"/>
        <v>0.03406760600648277</v>
      </c>
      <c r="N277" s="151">
        <v>331.578</v>
      </c>
      <c r="O277" s="152">
        <f t="shared" si="55"/>
        <v>11.296068664417543</v>
      </c>
      <c r="P277" s="171">
        <f t="shared" si="56"/>
        <v>2044.0563603889666</v>
      </c>
      <c r="Q277" s="153">
        <f t="shared" si="57"/>
        <v>677.7641198650527</v>
      </c>
      <c r="S277" s="88"/>
      <c r="T277" s="88"/>
    </row>
    <row r="278" spans="1:20" ht="12.75">
      <c r="A278" s="965"/>
      <c r="B278" s="41">
        <v>7</v>
      </c>
      <c r="C278" s="169" t="s">
        <v>184</v>
      </c>
      <c r="D278" s="137">
        <v>15</v>
      </c>
      <c r="E278" s="137">
        <v>1969</v>
      </c>
      <c r="F278" s="218">
        <v>22.236</v>
      </c>
      <c r="G278" s="218">
        <v>0.969</v>
      </c>
      <c r="H278" s="218">
        <v>0.15</v>
      </c>
      <c r="I278" s="218">
        <v>21.117</v>
      </c>
      <c r="J278" s="275">
        <v>617.45</v>
      </c>
      <c r="K278" s="218">
        <v>19.24</v>
      </c>
      <c r="L278" s="275">
        <v>562.44</v>
      </c>
      <c r="M278" s="150">
        <f t="shared" si="54"/>
        <v>0.03420809330773059</v>
      </c>
      <c r="N278" s="151">
        <v>331.578</v>
      </c>
      <c r="O278" s="152">
        <f t="shared" si="55"/>
        <v>11.342651162790693</v>
      </c>
      <c r="P278" s="171">
        <f t="shared" si="56"/>
        <v>2052.4855984638357</v>
      </c>
      <c r="Q278" s="153">
        <f t="shared" si="57"/>
        <v>680.5590697674417</v>
      </c>
      <c r="S278" s="88"/>
      <c r="T278" s="88"/>
    </row>
    <row r="279" spans="1:20" ht="12.75">
      <c r="A279" s="965"/>
      <c r="B279" s="41">
        <v>8</v>
      </c>
      <c r="C279" s="169" t="s">
        <v>186</v>
      </c>
      <c r="D279" s="137">
        <v>7</v>
      </c>
      <c r="E279" s="137">
        <v>1959</v>
      </c>
      <c r="F279" s="218">
        <v>7.868</v>
      </c>
      <c r="G279" s="218">
        <v>0.204</v>
      </c>
      <c r="H279" s="218">
        <v>0.05</v>
      </c>
      <c r="I279" s="218">
        <v>7.614</v>
      </c>
      <c r="J279" s="275">
        <v>598.8</v>
      </c>
      <c r="K279" s="218">
        <v>7.17</v>
      </c>
      <c r="L279" s="275">
        <v>206.9</v>
      </c>
      <c r="M279" s="150">
        <f t="shared" si="54"/>
        <v>0.034654422426292894</v>
      </c>
      <c r="N279" s="151">
        <v>331.578</v>
      </c>
      <c r="O279" s="152">
        <f t="shared" si="55"/>
        <v>11.490644079265344</v>
      </c>
      <c r="P279" s="171">
        <f t="shared" si="56"/>
        <v>2079.2653455775735</v>
      </c>
      <c r="Q279" s="153">
        <f t="shared" si="57"/>
        <v>689.4386447559207</v>
      </c>
      <c r="S279" s="88"/>
      <c r="T279" s="88"/>
    </row>
    <row r="280" spans="1:20" ht="12.75">
      <c r="A280" s="965"/>
      <c r="B280" s="41">
        <v>9</v>
      </c>
      <c r="C280" s="257" t="s">
        <v>180</v>
      </c>
      <c r="D280" s="137">
        <v>2</v>
      </c>
      <c r="E280" s="137">
        <v>1935</v>
      </c>
      <c r="F280" s="218">
        <v>6.028</v>
      </c>
      <c r="G280" s="218">
        <v>0</v>
      </c>
      <c r="H280" s="218">
        <v>0</v>
      </c>
      <c r="I280" s="218">
        <v>6.028</v>
      </c>
      <c r="J280" s="275">
        <v>168.86</v>
      </c>
      <c r="K280" s="218">
        <v>2.94</v>
      </c>
      <c r="L280" s="275">
        <v>82.33</v>
      </c>
      <c r="M280" s="150">
        <f t="shared" si="54"/>
        <v>0.035709947771164825</v>
      </c>
      <c r="N280" s="151">
        <v>331.578</v>
      </c>
      <c r="O280" s="152">
        <f t="shared" si="55"/>
        <v>11.84063306206729</v>
      </c>
      <c r="P280" s="171">
        <f t="shared" si="56"/>
        <v>2142.5968662698892</v>
      </c>
      <c r="Q280" s="153">
        <f t="shared" si="57"/>
        <v>710.4379837240373</v>
      </c>
      <c r="S280" s="88"/>
      <c r="T280" s="88"/>
    </row>
    <row r="281" spans="1:20" ht="13.5" thickBot="1">
      <c r="A281" s="966"/>
      <c r="B281" s="45">
        <v>10</v>
      </c>
      <c r="C281" s="258" t="s">
        <v>185</v>
      </c>
      <c r="D281" s="138">
        <v>18</v>
      </c>
      <c r="E281" s="138">
        <v>1961</v>
      </c>
      <c r="F281" s="251">
        <v>33.844</v>
      </c>
      <c r="G281" s="251">
        <v>0.918</v>
      </c>
      <c r="H281" s="251">
        <v>0.21</v>
      </c>
      <c r="I281" s="251">
        <v>32.716</v>
      </c>
      <c r="J281" s="365">
        <v>889.91</v>
      </c>
      <c r="K281" s="251">
        <v>25.31</v>
      </c>
      <c r="L281" s="365">
        <v>688.37</v>
      </c>
      <c r="M281" s="154">
        <f t="shared" si="54"/>
        <v>0.036768017200052294</v>
      </c>
      <c r="N281" s="138">
        <v>331.578</v>
      </c>
      <c r="O281" s="156">
        <f t="shared" si="55"/>
        <v>12.19146560715894</v>
      </c>
      <c r="P281" s="156">
        <f t="shared" si="56"/>
        <v>2206.081032003138</v>
      </c>
      <c r="Q281" s="157">
        <f t="shared" si="57"/>
        <v>731.4879364295364</v>
      </c>
      <c r="S281" s="88"/>
      <c r="T281" s="88"/>
    </row>
    <row r="282" spans="16:20" ht="12.75">
      <c r="P282" s="240"/>
      <c r="Q282" s="240"/>
      <c r="S282" s="88"/>
      <c r="T282" s="88"/>
    </row>
    <row r="283" spans="19:20" ht="12.75">
      <c r="S283" s="88"/>
      <c r="T283" s="88"/>
    </row>
    <row r="284" spans="19:20" ht="12.75">
      <c r="S284" s="88"/>
      <c r="T284" s="88"/>
    </row>
    <row r="285" spans="19:20" ht="12.75">
      <c r="S285" s="88"/>
      <c r="T285" s="88"/>
    </row>
    <row r="286" spans="19:20" ht="12.75">
      <c r="S286" s="88"/>
      <c r="T286" s="88"/>
    </row>
    <row r="287" spans="1:20" ht="15">
      <c r="A287" s="967" t="s">
        <v>589</v>
      </c>
      <c r="B287" s="967"/>
      <c r="C287" s="967"/>
      <c r="D287" s="967"/>
      <c r="E287" s="967"/>
      <c r="F287" s="967"/>
      <c r="G287" s="967"/>
      <c r="H287" s="967"/>
      <c r="I287" s="967"/>
      <c r="J287" s="967"/>
      <c r="K287" s="967"/>
      <c r="L287" s="967"/>
      <c r="M287" s="967"/>
      <c r="N287" s="967"/>
      <c r="O287" s="967"/>
      <c r="P287" s="967"/>
      <c r="Q287" s="967"/>
      <c r="S287" s="88"/>
      <c r="T287" s="88"/>
    </row>
    <row r="288" spans="1:20" ht="13.5" thickBot="1">
      <c r="A288" s="968" t="s">
        <v>572</v>
      </c>
      <c r="B288" s="968"/>
      <c r="C288" s="968"/>
      <c r="D288" s="968"/>
      <c r="E288" s="968"/>
      <c r="F288" s="968"/>
      <c r="G288" s="968"/>
      <c r="H288" s="968"/>
      <c r="I288" s="968"/>
      <c r="J288" s="968"/>
      <c r="K288" s="968"/>
      <c r="L288" s="968"/>
      <c r="M288" s="968"/>
      <c r="N288" s="968"/>
      <c r="O288" s="968"/>
      <c r="P288" s="968"/>
      <c r="Q288" s="968"/>
      <c r="S288" s="88"/>
      <c r="T288" s="88"/>
    </row>
    <row r="289" spans="1:20" ht="12.75" customHeight="1">
      <c r="A289" s="952" t="s">
        <v>1</v>
      </c>
      <c r="B289" s="955" t="s">
        <v>0</v>
      </c>
      <c r="C289" s="944" t="s">
        <v>2</v>
      </c>
      <c r="D289" s="944" t="s">
        <v>3</v>
      </c>
      <c r="E289" s="944" t="s">
        <v>13</v>
      </c>
      <c r="F289" s="960" t="s">
        <v>14</v>
      </c>
      <c r="G289" s="961"/>
      <c r="H289" s="961"/>
      <c r="I289" s="962"/>
      <c r="J289" s="944" t="s">
        <v>4</v>
      </c>
      <c r="K289" s="944" t="s">
        <v>15</v>
      </c>
      <c r="L289" s="944" t="s">
        <v>5</v>
      </c>
      <c r="M289" s="944" t="s">
        <v>6</v>
      </c>
      <c r="N289" s="944" t="s">
        <v>16</v>
      </c>
      <c r="O289" s="969" t="s">
        <v>17</v>
      </c>
      <c r="P289" s="944" t="s">
        <v>25</v>
      </c>
      <c r="Q289" s="929" t="s">
        <v>26</v>
      </c>
      <c r="S289" s="88"/>
      <c r="T289" s="88"/>
    </row>
    <row r="290" spans="1:20" s="2" customFormat="1" ht="33.75">
      <c r="A290" s="953"/>
      <c r="B290" s="956"/>
      <c r="C290" s="958"/>
      <c r="D290" s="945"/>
      <c r="E290" s="945"/>
      <c r="F290" s="37" t="s">
        <v>18</v>
      </c>
      <c r="G290" s="37" t="s">
        <v>19</v>
      </c>
      <c r="H290" s="37" t="s">
        <v>20</v>
      </c>
      <c r="I290" s="37" t="s">
        <v>21</v>
      </c>
      <c r="J290" s="945"/>
      <c r="K290" s="945"/>
      <c r="L290" s="945"/>
      <c r="M290" s="945"/>
      <c r="N290" s="945"/>
      <c r="O290" s="970"/>
      <c r="P290" s="945"/>
      <c r="Q290" s="930"/>
      <c r="S290" s="88"/>
      <c r="T290" s="88"/>
    </row>
    <row r="291" spans="1:20" s="3" customFormat="1" ht="13.5" customHeight="1" thickBot="1">
      <c r="A291" s="953"/>
      <c r="B291" s="956"/>
      <c r="C291" s="958"/>
      <c r="D291" s="10" t="s">
        <v>7</v>
      </c>
      <c r="E291" s="10" t="s">
        <v>8</v>
      </c>
      <c r="F291" s="10" t="s">
        <v>9</v>
      </c>
      <c r="G291" s="10" t="s">
        <v>9</v>
      </c>
      <c r="H291" s="10" t="s">
        <v>9</v>
      </c>
      <c r="I291" s="10" t="s">
        <v>9</v>
      </c>
      <c r="J291" s="10" t="s">
        <v>22</v>
      </c>
      <c r="K291" s="10" t="s">
        <v>9</v>
      </c>
      <c r="L291" s="10" t="s">
        <v>22</v>
      </c>
      <c r="M291" s="10" t="s">
        <v>23</v>
      </c>
      <c r="N291" s="10" t="s">
        <v>10</v>
      </c>
      <c r="O291" s="10" t="s">
        <v>24</v>
      </c>
      <c r="P291" s="38" t="s">
        <v>27</v>
      </c>
      <c r="Q291" s="11" t="s">
        <v>28</v>
      </c>
      <c r="S291" s="88"/>
      <c r="T291" s="88"/>
    </row>
    <row r="292" spans="1:20" ht="12.75">
      <c r="A292" s="926" t="s">
        <v>11</v>
      </c>
      <c r="B292" s="29">
        <v>1</v>
      </c>
      <c r="C292" s="700" t="s">
        <v>331</v>
      </c>
      <c r="D292" s="131">
        <v>46</v>
      </c>
      <c r="E292" s="131">
        <v>1993</v>
      </c>
      <c r="F292" s="247">
        <v>42.223</v>
      </c>
      <c r="G292" s="589">
        <v>6.064053</v>
      </c>
      <c r="H292" s="590">
        <v>9.84</v>
      </c>
      <c r="I292" s="247">
        <v>26.318948</v>
      </c>
      <c r="J292" s="558">
        <v>2941.14</v>
      </c>
      <c r="K292" s="247">
        <f aca="true" t="shared" si="58" ref="K292:K331">I292/J292*L292</f>
        <v>24.221228139619328</v>
      </c>
      <c r="L292" s="558">
        <v>2706.72</v>
      </c>
      <c r="M292" s="315">
        <f aca="true" t="shared" si="59" ref="M292:M331">K292/L292</f>
        <v>0.008948553282060697</v>
      </c>
      <c r="N292" s="314">
        <v>297.68</v>
      </c>
      <c r="O292" s="578">
        <f aca="true" t="shared" si="60" ref="O292:O331">M292*N292</f>
        <v>2.6638053410038283</v>
      </c>
      <c r="P292" s="579">
        <f aca="true" t="shared" si="61" ref="P292:P331">M292*60*1000</f>
        <v>536.9131969236419</v>
      </c>
      <c r="Q292" s="203">
        <f aca="true" t="shared" si="62" ref="Q292:Q331">P292*N292/1000</f>
        <v>159.8283204602297</v>
      </c>
      <c r="R292" s="6"/>
      <c r="S292" s="88"/>
      <c r="T292" s="88"/>
    </row>
    <row r="293" spans="1:20" ht="12.75">
      <c r="A293" s="927"/>
      <c r="B293" s="30">
        <v>2</v>
      </c>
      <c r="C293" s="701" t="s">
        <v>189</v>
      </c>
      <c r="D293" s="132">
        <v>54</v>
      </c>
      <c r="E293" s="132">
        <v>2008</v>
      </c>
      <c r="F293" s="248">
        <v>43.429</v>
      </c>
      <c r="G293" s="248">
        <v>3.621</v>
      </c>
      <c r="H293" s="693">
        <v>4.32</v>
      </c>
      <c r="I293" s="248">
        <v>35.487999</v>
      </c>
      <c r="J293" s="271">
        <v>3786.21</v>
      </c>
      <c r="K293" s="253">
        <f t="shared" si="58"/>
        <v>19.02964170759942</v>
      </c>
      <c r="L293" s="271">
        <v>2030.27</v>
      </c>
      <c r="M293" s="580">
        <f t="shared" si="59"/>
        <v>0.009372961087736813</v>
      </c>
      <c r="N293" s="142">
        <v>297.68</v>
      </c>
      <c r="O293" s="143">
        <f t="shared" si="60"/>
        <v>2.7901430565974947</v>
      </c>
      <c r="P293" s="581">
        <f t="shared" si="61"/>
        <v>562.3776652642089</v>
      </c>
      <c r="Q293" s="144">
        <f t="shared" si="62"/>
        <v>167.40858339584972</v>
      </c>
      <c r="S293" s="88"/>
      <c r="T293" s="88"/>
    </row>
    <row r="294" spans="1:20" ht="12.75">
      <c r="A294" s="927"/>
      <c r="B294" s="30">
        <v>3</v>
      </c>
      <c r="C294" s="701" t="s">
        <v>333</v>
      </c>
      <c r="D294" s="132">
        <v>55</v>
      </c>
      <c r="E294" s="132">
        <v>1993</v>
      </c>
      <c r="F294" s="248">
        <v>52.908545</v>
      </c>
      <c r="G294" s="248">
        <v>7.599</v>
      </c>
      <c r="H294" s="693">
        <v>8.64</v>
      </c>
      <c r="I294" s="248">
        <v>36.669543</v>
      </c>
      <c r="J294" s="271">
        <v>3524.86</v>
      </c>
      <c r="K294" s="253">
        <f t="shared" si="58"/>
        <v>36.669543</v>
      </c>
      <c r="L294" s="271">
        <v>3524.86</v>
      </c>
      <c r="M294" s="580">
        <f t="shared" si="59"/>
        <v>0.010403120407619025</v>
      </c>
      <c r="N294" s="142">
        <v>297.68</v>
      </c>
      <c r="O294" s="143">
        <f t="shared" si="60"/>
        <v>3.0968008829400318</v>
      </c>
      <c r="P294" s="581">
        <f t="shared" si="61"/>
        <v>624.1872244571415</v>
      </c>
      <c r="Q294" s="144">
        <f t="shared" si="62"/>
        <v>185.80805297640188</v>
      </c>
      <c r="S294" s="88"/>
      <c r="T294" s="88"/>
    </row>
    <row r="295" spans="1:20" ht="12.75">
      <c r="A295" s="927"/>
      <c r="B295" s="30">
        <v>4</v>
      </c>
      <c r="C295" s="701" t="s">
        <v>188</v>
      </c>
      <c r="D295" s="132">
        <v>54</v>
      </c>
      <c r="E295" s="132">
        <v>1992</v>
      </c>
      <c r="F295" s="248">
        <v>42.933</v>
      </c>
      <c r="G295" s="248">
        <v>5.988624</v>
      </c>
      <c r="H295" s="693">
        <v>8.64</v>
      </c>
      <c r="I295" s="248">
        <v>28.304374000000003</v>
      </c>
      <c r="J295" s="271">
        <v>2632.94</v>
      </c>
      <c r="K295" s="253">
        <f t="shared" si="58"/>
        <v>28.304374000000006</v>
      </c>
      <c r="L295" s="271">
        <v>2632.94</v>
      </c>
      <c r="M295" s="580">
        <f t="shared" si="59"/>
        <v>0.010750102167159147</v>
      </c>
      <c r="N295" s="142">
        <v>297.68</v>
      </c>
      <c r="O295" s="143">
        <f t="shared" si="60"/>
        <v>3.200090413119935</v>
      </c>
      <c r="P295" s="581">
        <f t="shared" si="61"/>
        <v>645.0061300295488</v>
      </c>
      <c r="Q295" s="144">
        <f t="shared" si="62"/>
        <v>192.0054247871961</v>
      </c>
      <c r="S295" s="88"/>
      <c r="T295" s="88"/>
    </row>
    <row r="296" spans="1:20" ht="12.75">
      <c r="A296" s="927"/>
      <c r="B296" s="30">
        <v>5</v>
      </c>
      <c r="C296" s="701" t="s">
        <v>420</v>
      </c>
      <c r="D296" s="132">
        <v>9</v>
      </c>
      <c r="E296" s="132">
        <v>2006</v>
      </c>
      <c r="F296" s="248">
        <v>12.025</v>
      </c>
      <c r="G296" s="248">
        <v>0.918</v>
      </c>
      <c r="H296" s="693">
        <v>1.44</v>
      </c>
      <c r="I296" s="248">
        <v>9.667000999999999</v>
      </c>
      <c r="J296" s="271">
        <v>887.8</v>
      </c>
      <c r="K296" s="253">
        <f t="shared" si="58"/>
        <v>6.1044312915296235</v>
      </c>
      <c r="L296" s="271">
        <v>560.62</v>
      </c>
      <c r="M296" s="580">
        <f t="shared" si="59"/>
        <v>0.010888714800630772</v>
      </c>
      <c r="N296" s="142">
        <v>297.68</v>
      </c>
      <c r="O296" s="143">
        <f t="shared" si="60"/>
        <v>3.2413526218517683</v>
      </c>
      <c r="P296" s="581">
        <f t="shared" si="61"/>
        <v>653.3228880378464</v>
      </c>
      <c r="Q296" s="144">
        <f t="shared" si="62"/>
        <v>194.48115731110613</v>
      </c>
      <c r="S296" s="88"/>
      <c r="T296" s="88"/>
    </row>
    <row r="297" spans="1:20" ht="12.75">
      <c r="A297" s="927"/>
      <c r="B297" s="30">
        <v>6</v>
      </c>
      <c r="C297" s="701" t="s">
        <v>590</v>
      </c>
      <c r="D297" s="132">
        <v>39</v>
      </c>
      <c r="E297" s="132">
        <v>1978</v>
      </c>
      <c r="F297" s="248">
        <v>31.412</v>
      </c>
      <c r="G297" s="248">
        <v>2.958</v>
      </c>
      <c r="H297" s="693">
        <v>5.36</v>
      </c>
      <c r="I297" s="248">
        <v>21.180431</v>
      </c>
      <c r="J297" s="271">
        <v>1861.39</v>
      </c>
      <c r="K297" s="253">
        <f t="shared" si="58"/>
        <v>10.160607963478906</v>
      </c>
      <c r="L297" s="271">
        <v>892.94</v>
      </c>
      <c r="M297" s="580">
        <f t="shared" si="59"/>
        <v>0.011378824964139701</v>
      </c>
      <c r="N297" s="142">
        <v>297.68</v>
      </c>
      <c r="O297" s="143">
        <f t="shared" si="60"/>
        <v>3.3872486153251065</v>
      </c>
      <c r="P297" s="581">
        <f t="shared" si="61"/>
        <v>682.7294978483822</v>
      </c>
      <c r="Q297" s="144">
        <f t="shared" si="62"/>
        <v>203.23491691950642</v>
      </c>
      <c r="S297" s="88"/>
      <c r="T297" s="88"/>
    </row>
    <row r="298" spans="1:20" ht="12.75">
      <c r="A298" s="927"/>
      <c r="B298" s="30">
        <v>7</v>
      </c>
      <c r="C298" s="701" t="s">
        <v>332</v>
      </c>
      <c r="D298" s="132">
        <v>55</v>
      </c>
      <c r="E298" s="132">
        <v>1990</v>
      </c>
      <c r="F298" s="248">
        <v>60.047</v>
      </c>
      <c r="G298" s="248">
        <v>7.242</v>
      </c>
      <c r="H298" s="693">
        <v>12.56</v>
      </c>
      <c r="I298" s="248">
        <v>40.245003</v>
      </c>
      <c r="J298" s="271">
        <v>3527.73</v>
      </c>
      <c r="K298" s="253">
        <f t="shared" si="58"/>
        <v>40.245003</v>
      </c>
      <c r="L298" s="271">
        <v>3527.73</v>
      </c>
      <c r="M298" s="580">
        <f t="shared" si="59"/>
        <v>0.011408186851034518</v>
      </c>
      <c r="N298" s="142">
        <v>297.68</v>
      </c>
      <c r="O298" s="143">
        <f t="shared" si="60"/>
        <v>3.395989061815955</v>
      </c>
      <c r="P298" s="581">
        <f t="shared" si="61"/>
        <v>684.4912110620711</v>
      </c>
      <c r="Q298" s="144">
        <f t="shared" si="62"/>
        <v>203.75934370895735</v>
      </c>
      <c r="S298" s="88"/>
      <c r="T298" s="88"/>
    </row>
    <row r="299" spans="1:20" ht="12.75">
      <c r="A299" s="927"/>
      <c r="B299" s="30">
        <v>8</v>
      </c>
      <c r="C299" s="701" t="s">
        <v>421</v>
      </c>
      <c r="D299" s="132">
        <v>55</v>
      </c>
      <c r="E299" s="132">
        <v>1995</v>
      </c>
      <c r="F299" s="248">
        <v>60.059</v>
      </c>
      <c r="G299" s="248">
        <v>13.566</v>
      </c>
      <c r="H299" s="693">
        <v>8.72</v>
      </c>
      <c r="I299" s="248">
        <v>37.773</v>
      </c>
      <c r="J299" s="271">
        <v>3308.16</v>
      </c>
      <c r="K299" s="253">
        <f t="shared" si="58"/>
        <v>37.773</v>
      </c>
      <c r="L299" s="271">
        <v>3308.16</v>
      </c>
      <c r="M299" s="580">
        <f t="shared" si="59"/>
        <v>0.011418129715612306</v>
      </c>
      <c r="N299" s="142">
        <v>297.68</v>
      </c>
      <c r="O299" s="143">
        <f t="shared" si="60"/>
        <v>3.3989488537434713</v>
      </c>
      <c r="P299" s="581">
        <f t="shared" si="61"/>
        <v>685.0877829367383</v>
      </c>
      <c r="Q299" s="144">
        <f t="shared" si="62"/>
        <v>203.93693122460826</v>
      </c>
      <c r="S299" s="88"/>
      <c r="T299" s="88"/>
    </row>
    <row r="300" spans="1:20" ht="12.75">
      <c r="A300" s="927"/>
      <c r="B300" s="30">
        <v>9</v>
      </c>
      <c r="C300" s="701" t="s">
        <v>335</v>
      </c>
      <c r="D300" s="132">
        <v>22</v>
      </c>
      <c r="E300" s="132">
        <v>1994</v>
      </c>
      <c r="F300" s="248">
        <v>19.147</v>
      </c>
      <c r="G300" s="248">
        <v>2.142</v>
      </c>
      <c r="H300" s="693">
        <v>3.52</v>
      </c>
      <c r="I300" s="248">
        <v>13.485</v>
      </c>
      <c r="J300" s="271">
        <v>1170.37</v>
      </c>
      <c r="K300" s="253">
        <f t="shared" si="58"/>
        <v>13.485</v>
      </c>
      <c r="L300" s="271">
        <v>1170.37</v>
      </c>
      <c r="M300" s="580">
        <f t="shared" si="59"/>
        <v>0.01152199731708776</v>
      </c>
      <c r="N300" s="142">
        <v>297.68</v>
      </c>
      <c r="O300" s="143">
        <f t="shared" si="60"/>
        <v>3.4298681613506843</v>
      </c>
      <c r="P300" s="581">
        <f t="shared" si="61"/>
        <v>691.3198390252657</v>
      </c>
      <c r="Q300" s="144">
        <f t="shared" si="62"/>
        <v>205.7920896810411</v>
      </c>
      <c r="S300" s="88"/>
      <c r="T300" s="88"/>
    </row>
    <row r="301" spans="1:20" s="92" customFormat="1" ht="13.5" thickBot="1">
      <c r="A301" s="928"/>
      <c r="B301" s="100">
        <v>10</v>
      </c>
      <c r="C301" s="702" t="s">
        <v>187</v>
      </c>
      <c r="D301" s="497">
        <v>25</v>
      </c>
      <c r="E301" s="497">
        <v>1978</v>
      </c>
      <c r="F301" s="249">
        <v>18.359</v>
      </c>
      <c r="G301" s="249">
        <v>2.142</v>
      </c>
      <c r="H301" s="694">
        <v>1</v>
      </c>
      <c r="I301" s="249">
        <v>15.217</v>
      </c>
      <c r="J301" s="272">
        <v>1284.25</v>
      </c>
      <c r="K301" s="556">
        <f t="shared" si="58"/>
        <v>15.217</v>
      </c>
      <c r="L301" s="272">
        <v>1284.25</v>
      </c>
      <c r="M301" s="582">
        <f t="shared" si="59"/>
        <v>0.011848939069495815</v>
      </c>
      <c r="N301" s="162">
        <v>297.68</v>
      </c>
      <c r="O301" s="273">
        <f t="shared" si="60"/>
        <v>3.5271921822075143</v>
      </c>
      <c r="P301" s="583">
        <f t="shared" si="61"/>
        <v>710.936344169749</v>
      </c>
      <c r="Q301" s="165">
        <f t="shared" si="62"/>
        <v>211.63153093245086</v>
      </c>
      <c r="S301" s="98"/>
      <c r="T301" s="98"/>
    </row>
    <row r="302" spans="1:20" ht="11.25" customHeight="1">
      <c r="A302" s="949" t="s">
        <v>29</v>
      </c>
      <c r="B302" s="752">
        <v>1</v>
      </c>
      <c r="C302" s="878" t="s">
        <v>591</v>
      </c>
      <c r="D302" s="873">
        <v>47</v>
      </c>
      <c r="E302" s="873">
        <v>1980</v>
      </c>
      <c r="F302" s="712">
        <v>63.253</v>
      </c>
      <c r="G302" s="712">
        <v>4.0545</v>
      </c>
      <c r="H302" s="879">
        <v>6.72</v>
      </c>
      <c r="I302" s="712">
        <v>52.478502</v>
      </c>
      <c r="J302" s="713">
        <v>4326.18</v>
      </c>
      <c r="K302" s="712">
        <f t="shared" si="58"/>
        <v>30.25163932099912</v>
      </c>
      <c r="L302" s="713">
        <v>2493.86</v>
      </c>
      <c r="M302" s="868">
        <f t="shared" si="59"/>
        <v>0.012130448108955243</v>
      </c>
      <c r="N302" s="869">
        <v>297.68</v>
      </c>
      <c r="O302" s="870">
        <f t="shared" si="60"/>
        <v>3.6109917930737967</v>
      </c>
      <c r="P302" s="870">
        <f t="shared" si="61"/>
        <v>727.8268865373145</v>
      </c>
      <c r="Q302" s="871">
        <f t="shared" si="62"/>
        <v>216.6595075844278</v>
      </c>
      <c r="S302" s="88"/>
      <c r="T302" s="88"/>
    </row>
    <row r="303" spans="1:20" ht="12.75" customHeight="1">
      <c r="A303" s="950"/>
      <c r="B303" s="725">
        <v>2</v>
      </c>
      <c r="C303" s="709" t="s">
        <v>336</v>
      </c>
      <c r="D303" s="710">
        <v>103</v>
      </c>
      <c r="E303" s="710">
        <v>1965</v>
      </c>
      <c r="F303" s="711">
        <v>84.866</v>
      </c>
      <c r="G303" s="711">
        <v>9.9705</v>
      </c>
      <c r="H303" s="880">
        <v>15.92</v>
      </c>
      <c r="I303" s="711">
        <v>58.975497</v>
      </c>
      <c r="J303" s="719">
        <v>4447.51</v>
      </c>
      <c r="K303" s="744">
        <f t="shared" si="58"/>
        <v>58.975497</v>
      </c>
      <c r="L303" s="719">
        <v>4447.51</v>
      </c>
      <c r="M303" s="714">
        <f t="shared" si="59"/>
        <v>0.01326034050513658</v>
      </c>
      <c r="N303" s="715">
        <v>297.68</v>
      </c>
      <c r="O303" s="716">
        <f t="shared" si="60"/>
        <v>3.9473381615690575</v>
      </c>
      <c r="P303" s="716">
        <f t="shared" si="61"/>
        <v>795.6204303081948</v>
      </c>
      <c r="Q303" s="717">
        <f t="shared" si="62"/>
        <v>236.84028969414345</v>
      </c>
      <c r="S303" s="88"/>
      <c r="T303" s="88"/>
    </row>
    <row r="304" spans="1:20" ht="12.75" customHeight="1">
      <c r="A304" s="950"/>
      <c r="B304" s="725">
        <v>3</v>
      </c>
      <c r="C304" s="709" t="s">
        <v>592</v>
      </c>
      <c r="D304" s="710">
        <v>60</v>
      </c>
      <c r="E304" s="710">
        <v>1988</v>
      </c>
      <c r="F304" s="711">
        <v>46.7584</v>
      </c>
      <c r="G304" s="711">
        <v>4.59</v>
      </c>
      <c r="H304" s="880">
        <v>9.6</v>
      </c>
      <c r="I304" s="711">
        <v>32.568405</v>
      </c>
      <c r="J304" s="719">
        <v>2363.76</v>
      </c>
      <c r="K304" s="744">
        <f t="shared" si="58"/>
        <v>32.568405</v>
      </c>
      <c r="L304" s="719">
        <v>2363.76</v>
      </c>
      <c r="M304" s="721">
        <f t="shared" si="59"/>
        <v>0.013778219870037566</v>
      </c>
      <c r="N304" s="715">
        <v>297.68</v>
      </c>
      <c r="O304" s="716">
        <f t="shared" si="60"/>
        <v>4.101500490912783</v>
      </c>
      <c r="P304" s="716">
        <f t="shared" si="61"/>
        <v>826.693192202254</v>
      </c>
      <c r="Q304" s="722">
        <f t="shared" si="62"/>
        <v>246.09002945476698</v>
      </c>
      <c r="S304" s="88"/>
      <c r="T304" s="88"/>
    </row>
    <row r="305" spans="1:20" ht="12.75" customHeight="1">
      <c r="A305" s="950"/>
      <c r="B305" s="725">
        <v>4</v>
      </c>
      <c r="C305" s="709" t="s">
        <v>204</v>
      </c>
      <c r="D305" s="710">
        <v>101</v>
      </c>
      <c r="E305" s="710">
        <v>1968</v>
      </c>
      <c r="F305" s="711">
        <v>86.49</v>
      </c>
      <c r="G305" s="711">
        <v>8.109</v>
      </c>
      <c r="H305" s="880">
        <v>15.92</v>
      </c>
      <c r="I305" s="711">
        <v>62.460997</v>
      </c>
      <c r="J305" s="719">
        <v>4482.08</v>
      </c>
      <c r="K305" s="744">
        <f t="shared" si="58"/>
        <v>62.460997</v>
      </c>
      <c r="L305" s="719">
        <v>4482.08</v>
      </c>
      <c r="M305" s="721">
        <f t="shared" si="59"/>
        <v>0.013935716676186056</v>
      </c>
      <c r="N305" s="715">
        <v>297.68</v>
      </c>
      <c r="O305" s="723">
        <f t="shared" si="60"/>
        <v>4.148384140167066</v>
      </c>
      <c r="P305" s="716">
        <f t="shared" si="61"/>
        <v>836.1430005711633</v>
      </c>
      <c r="Q305" s="722">
        <f t="shared" si="62"/>
        <v>248.90304841002387</v>
      </c>
      <c r="S305" s="88"/>
      <c r="T305" s="88"/>
    </row>
    <row r="306" spans="1:20" ht="12.75" customHeight="1">
      <c r="A306" s="950"/>
      <c r="B306" s="725">
        <v>5</v>
      </c>
      <c r="C306" s="709" t="s">
        <v>334</v>
      </c>
      <c r="D306" s="710">
        <v>22</v>
      </c>
      <c r="E306" s="710">
        <v>2006</v>
      </c>
      <c r="F306" s="711">
        <v>23.402</v>
      </c>
      <c r="G306" s="711">
        <v>2.04</v>
      </c>
      <c r="H306" s="880">
        <v>3.52</v>
      </c>
      <c r="I306" s="711">
        <v>17.841998</v>
      </c>
      <c r="J306" s="719">
        <v>1279.24</v>
      </c>
      <c r="K306" s="744">
        <f t="shared" si="58"/>
        <v>17.841998</v>
      </c>
      <c r="L306" s="719">
        <v>1279.24</v>
      </c>
      <c r="M306" s="721">
        <f t="shared" si="59"/>
        <v>0.013947342171914574</v>
      </c>
      <c r="N306" s="715">
        <v>297.68</v>
      </c>
      <c r="O306" s="723">
        <f t="shared" si="60"/>
        <v>4.1518448177355305</v>
      </c>
      <c r="P306" s="716">
        <f t="shared" si="61"/>
        <v>836.8405303148745</v>
      </c>
      <c r="Q306" s="722">
        <f t="shared" si="62"/>
        <v>249.11068906413183</v>
      </c>
      <c r="S306" s="88"/>
      <c r="T306" s="88"/>
    </row>
    <row r="307" spans="1:20" ht="12.75" customHeight="1">
      <c r="A307" s="950"/>
      <c r="B307" s="725">
        <v>6</v>
      </c>
      <c r="C307" s="709" t="s">
        <v>190</v>
      </c>
      <c r="D307" s="710">
        <v>56</v>
      </c>
      <c r="E307" s="710">
        <v>1991</v>
      </c>
      <c r="F307" s="711">
        <v>70.45</v>
      </c>
      <c r="G307" s="711">
        <v>7.44498</v>
      </c>
      <c r="H307" s="880">
        <v>13.36</v>
      </c>
      <c r="I307" s="711">
        <v>49.645017</v>
      </c>
      <c r="J307" s="719">
        <v>3478.2</v>
      </c>
      <c r="K307" s="744">
        <f t="shared" si="58"/>
        <v>47.15819872850612</v>
      </c>
      <c r="L307" s="719">
        <v>3303.97</v>
      </c>
      <c r="M307" s="721">
        <f t="shared" si="59"/>
        <v>0.014273192168362947</v>
      </c>
      <c r="N307" s="715">
        <v>297.68</v>
      </c>
      <c r="O307" s="723">
        <f t="shared" si="60"/>
        <v>4.248843844678282</v>
      </c>
      <c r="P307" s="716">
        <f t="shared" si="61"/>
        <v>856.3915301017768</v>
      </c>
      <c r="Q307" s="722">
        <f t="shared" si="62"/>
        <v>254.93063068069694</v>
      </c>
      <c r="S307" s="88"/>
      <c r="T307" s="88"/>
    </row>
    <row r="308" spans="1:20" ht="12.75" customHeight="1">
      <c r="A308" s="950"/>
      <c r="B308" s="725">
        <v>7</v>
      </c>
      <c r="C308" s="709" t="s">
        <v>337</v>
      </c>
      <c r="D308" s="710">
        <v>51</v>
      </c>
      <c r="E308" s="710">
        <v>1976</v>
      </c>
      <c r="F308" s="711">
        <v>60.021</v>
      </c>
      <c r="G308" s="711">
        <v>7.5837</v>
      </c>
      <c r="H308" s="880">
        <v>8.16</v>
      </c>
      <c r="I308" s="711">
        <v>44.2773</v>
      </c>
      <c r="J308" s="719">
        <v>3060.87</v>
      </c>
      <c r="K308" s="744">
        <f t="shared" si="58"/>
        <v>44.2773</v>
      </c>
      <c r="L308" s="719">
        <v>3060.87</v>
      </c>
      <c r="M308" s="721">
        <f t="shared" si="59"/>
        <v>0.014465593115682795</v>
      </c>
      <c r="N308" s="715">
        <v>297.68</v>
      </c>
      <c r="O308" s="723">
        <f t="shared" si="60"/>
        <v>4.3061177586764545</v>
      </c>
      <c r="P308" s="716">
        <f t="shared" si="61"/>
        <v>867.9355869409677</v>
      </c>
      <c r="Q308" s="722">
        <f t="shared" si="62"/>
        <v>258.3670655205873</v>
      </c>
      <c r="S308" s="88"/>
      <c r="T308" s="88"/>
    </row>
    <row r="309" spans="1:20" ht="12.75" customHeight="1">
      <c r="A309" s="950"/>
      <c r="B309" s="725">
        <v>8</v>
      </c>
      <c r="C309" s="709" t="s">
        <v>593</v>
      </c>
      <c r="D309" s="710">
        <v>22</v>
      </c>
      <c r="E309" s="710">
        <v>1989</v>
      </c>
      <c r="F309" s="711">
        <v>29.338</v>
      </c>
      <c r="G309" s="711">
        <v>8.16</v>
      </c>
      <c r="H309" s="880">
        <v>3.52</v>
      </c>
      <c r="I309" s="711">
        <v>17.658001</v>
      </c>
      <c r="J309" s="719">
        <v>1206.88</v>
      </c>
      <c r="K309" s="744">
        <f t="shared" si="58"/>
        <v>17.658001</v>
      </c>
      <c r="L309" s="719">
        <v>1206.88</v>
      </c>
      <c r="M309" s="721">
        <f t="shared" si="59"/>
        <v>0.014631115769587694</v>
      </c>
      <c r="N309" s="715">
        <v>297.68</v>
      </c>
      <c r="O309" s="723">
        <f t="shared" si="60"/>
        <v>4.3553905422908645</v>
      </c>
      <c r="P309" s="716">
        <f t="shared" si="61"/>
        <v>877.8669461752617</v>
      </c>
      <c r="Q309" s="722">
        <f t="shared" si="62"/>
        <v>261.32343253745194</v>
      </c>
      <c r="S309" s="88"/>
      <c r="T309" s="88"/>
    </row>
    <row r="310" spans="1:20" ht="13.5" customHeight="1">
      <c r="A310" s="950"/>
      <c r="B310" s="725">
        <v>9</v>
      </c>
      <c r="C310" s="709" t="s">
        <v>422</v>
      </c>
      <c r="D310" s="710">
        <v>100</v>
      </c>
      <c r="E310" s="710">
        <v>1966</v>
      </c>
      <c r="F310" s="711">
        <v>88.939</v>
      </c>
      <c r="G310" s="711">
        <v>7.191</v>
      </c>
      <c r="H310" s="880">
        <v>15.84</v>
      </c>
      <c r="I310" s="711">
        <v>65.908006</v>
      </c>
      <c r="J310" s="719">
        <v>4481.51</v>
      </c>
      <c r="K310" s="744">
        <f t="shared" si="58"/>
        <v>65.908006</v>
      </c>
      <c r="L310" s="719">
        <v>4481.51</v>
      </c>
      <c r="M310" s="721">
        <f t="shared" si="59"/>
        <v>0.014706651552713258</v>
      </c>
      <c r="N310" s="715">
        <v>297.68</v>
      </c>
      <c r="O310" s="723">
        <f t="shared" si="60"/>
        <v>4.377876034211683</v>
      </c>
      <c r="P310" s="716">
        <f t="shared" si="61"/>
        <v>882.3990931627956</v>
      </c>
      <c r="Q310" s="722">
        <f t="shared" si="62"/>
        <v>262.67256205270104</v>
      </c>
      <c r="S310" s="88"/>
      <c r="T310" s="88"/>
    </row>
    <row r="311" spans="1:20" ht="13.5" customHeight="1" thickBot="1">
      <c r="A311" s="951"/>
      <c r="B311" s="734">
        <v>10</v>
      </c>
      <c r="C311" s="745" t="s">
        <v>594</v>
      </c>
      <c r="D311" s="746">
        <v>80</v>
      </c>
      <c r="E311" s="746">
        <v>1964</v>
      </c>
      <c r="F311" s="747">
        <v>76.258</v>
      </c>
      <c r="G311" s="747">
        <v>6.7575</v>
      </c>
      <c r="H311" s="881">
        <v>12.72</v>
      </c>
      <c r="I311" s="747">
        <v>56.780503</v>
      </c>
      <c r="J311" s="748">
        <v>3830.86</v>
      </c>
      <c r="K311" s="876">
        <f t="shared" si="58"/>
        <v>56.780503</v>
      </c>
      <c r="L311" s="748">
        <v>3830.86</v>
      </c>
      <c r="M311" s="749">
        <f t="shared" si="59"/>
        <v>0.01482186845773534</v>
      </c>
      <c r="N311" s="882">
        <v>297.68</v>
      </c>
      <c r="O311" s="750">
        <f t="shared" si="60"/>
        <v>4.412173802498656</v>
      </c>
      <c r="P311" s="750">
        <f t="shared" si="61"/>
        <v>889.3121074641203</v>
      </c>
      <c r="Q311" s="751">
        <f t="shared" si="62"/>
        <v>264.73042814991936</v>
      </c>
      <c r="S311" s="88"/>
      <c r="T311" s="88"/>
    </row>
    <row r="312" spans="1:20" ht="12.75">
      <c r="A312" s="963" t="s">
        <v>30</v>
      </c>
      <c r="B312" s="32">
        <v>1</v>
      </c>
      <c r="C312" s="215" t="s">
        <v>341</v>
      </c>
      <c r="D312" s="217">
        <v>12</v>
      </c>
      <c r="E312" s="217">
        <v>1971</v>
      </c>
      <c r="F312" s="313">
        <v>17.904</v>
      </c>
      <c r="G312" s="313">
        <v>0.6936</v>
      </c>
      <c r="H312" s="695">
        <v>1.92</v>
      </c>
      <c r="I312" s="313">
        <v>15.290401</v>
      </c>
      <c r="J312" s="276">
        <v>534.73</v>
      </c>
      <c r="K312" s="313">
        <f t="shared" si="58"/>
        <v>14.120023215080508</v>
      </c>
      <c r="L312" s="276">
        <v>493.8</v>
      </c>
      <c r="M312" s="317">
        <f t="shared" si="59"/>
        <v>0.028594619714622332</v>
      </c>
      <c r="N312" s="145">
        <v>297.68</v>
      </c>
      <c r="O312" s="318">
        <f t="shared" si="60"/>
        <v>8.512046396648776</v>
      </c>
      <c r="P312" s="318">
        <f t="shared" si="61"/>
        <v>1715.6771828773399</v>
      </c>
      <c r="Q312" s="319">
        <f t="shared" si="62"/>
        <v>510.72278379892657</v>
      </c>
      <c r="S312" s="88"/>
      <c r="T312" s="88"/>
    </row>
    <row r="313" spans="1:20" ht="12.75">
      <c r="A313" s="938"/>
      <c r="B313" s="34">
        <v>2</v>
      </c>
      <c r="C313" s="205" t="s">
        <v>424</v>
      </c>
      <c r="D313" s="135">
        <v>10</v>
      </c>
      <c r="E313" s="135">
        <v>1905</v>
      </c>
      <c r="F313" s="222">
        <v>13.5454</v>
      </c>
      <c r="G313" s="222">
        <v>0.459</v>
      </c>
      <c r="H313" s="696">
        <v>1.2</v>
      </c>
      <c r="I313" s="222">
        <v>11.8864</v>
      </c>
      <c r="J313" s="277">
        <v>414.22</v>
      </c>
      <c r="K313" s="388">
        <f t="shared" si="58"/>
        <v>7.851187871179566</v>
      </c>
      <c r="L313" s="277">
        <v>273.6</v>
      </c>
      <c r="M313" s="146">
        <f t="shared" si="59"/>
        <v>0.028695862102264495</v>
      </c>
      <c r="N313" s="147">
        <v>297.68</v>
      </c>
      <c r="O313" s="148">
        <f t="shared" si="60"/>
        <v>8.542184230602095</v>
      </c>
      <c r="P313" s="208">
        <f t="shared" si="61"/>
        <v>1721.7517261358696</v>
      </c>
      <c r="Q313" s="149">
        <f t="shared" si="62"/>
        <v>512.5310538361257</v>
      </c>
      <c r="S313" s="88"/>
      <c r="T313" s="88"/>
    </row>
    <row r="314" spans="1:20" ht="12.75">
      <c r="A314" s="938"/>
      <c r="B314" s="34">
        <v>3</v>
      </c>
      <c r="C314" s="205" t="s">
        <v>595</v>
      </c>
      <c r="D314" s="135">
        <v>12</v>
      </c>
      <c r="E314" s="135">
        <v>1972</v>
      </c>
      <c r="F314" s="222">
        <v>15.299</v>
      </c>
      <c r="G314" s="222">
        <v>0</v>
      </c>
      <c r="H314" s="696">
        <v>0</v>
      </c>
      <c r="I314" s="222">
        <v>15.299001</v>
      </c>
      <c r="J314" s="277">
        <v>532.47</v>
      </c>
      <c r="K314" s="388">
        <f t="shared" si="58"/>
        <v>15.299001</v>
      </c>
      <c r="L314" s="277">
        <v>532.47</v>
      </c>
      <c r="M314" s="146">
        <f t="shared" si="59"/>
        <v>0.028732137021804046</v>
      </c>
      <c r="N314" s="147">
        <v>297.68</v>
      </c>
      <c r="O314" s="148">
        <f t="shared" si="60"/>
        <v>8.552982548650629</v>
      </c>
      <c r="P314" s="208">
        <f t="shared" si="61"/>
        <v>1723.9282213082427</v>
      </c>
      <c r="Q314" s="149">
        <f t="shared" si="62"/>
        <v>513.1789529190377</v>
      </c>
      <c r="S314" s="88"/>
      <c r="T314" s="88"/>
    </row>
    <row r="315" spans="1:20" ht="12.75">
      <c r="A315" s="938"/>
      <c r="B315" s="34">
        <v>4</v>
      </c>
      <c r="C315" s="205" t="s">
        <v>596</v>
      </c>
      <c r="D315" s="135">
        <v>8</v>
      </c>
      <c r="E315" s="135">
        <v>1956</v>
      </c>
      <c r="F315" s="222">
        <v>13.6414</v>
      </c>
      <c r="G315" s="222">
        <v>0</v>
      </c>
      <c r="H315" s="696">
        <v>0</v>
      </c>
      <c r="I315" s="222">
        <v>13.6414</v>
      </c>
      <c r="J315" s="277">
        <v>469.85</v>
      </c>
      <c r="K315" s="388">
        <f t="shared" si="58"/>
        <v>13.6414</v>
      </c>
      <c r="L315" s="277">
        <v>469.85</v>
      </c>
      <c r="M315" s="146">
        <f t="shared" si="59"/>
        <v>0.02903352133659679</v>
      </c>
      <c r="N315" s="147">
        <v>297.68</v>
      </c>
      <c r="O315" s="148">
        <f t="shared" si="60"/>
        <v>8.642698631478131</v>
      </c>
      <c r="P315" s="208">
        <f t="shared" si="61"/>
        <v>1742.011280195807</v>
      </c>
      <c r="Q315" s="149">
        <f t="shared" si="62"/>
        <v>518.5619178886878</v>
      </c>
      <c r="S315" s="88"/>
      <c r="T315" s="88"/>
    </row>
    <row r="316" spans="1:20" ht="12.75">
      <c r="A316" s="938"/>
      <c r="B316" s="34">
        <v>5</v>
      </c>
      <c r="C316" s="205" t="s">
        <v>191</v>
      </c>
      <c r="D316" s="135">
        <v>8</v>
      </c>
      <c r="E316" s="135">
        <v>1970</v>
      </c>
      <c r="F316" s="222">
        <v>11.085</v>
      </c>
      <c r="G316" s="222">
        <v>0.714</v>
      </c>
      <c r="H316" s="696">
        <v>0.96</v>
      </c>
      <c r="I316" s="222">
        <v>9.411001</v>
      </c>
      <c r="J316" s="277">
        <v>321.83</v>
      </c>
      <c r="K316" s="388">
        <f t="shared" si="58"/>
        <v>6.602292532641457</v>
      </c>
      <c r="L316" s="277">
        <v>225.78</v>
      </c>
      <c r="M316" s="146">
        <f t="shared" si="59"/>
        <v>0.029242149582077496</v>
      </c>
      <c r="N316" s="147">
        <v>297.68</v>
      </c>
      <c r="O316" s="148">
        <f t="shared" si="60"/>
        <v>8.704803087592829</v>
      </c>
      <c r="P316" s="208">
        <f t="shared" si="61"/>
        <v>1754.5289749246497</v>
      </c>
      <c r="Q316" s="149">
        <f t="shared" si="62"/>
        <v>522.2881852555697</v>
      </c>
      <c r="S316" s="88"/>
      <c r="T316" s="88"/>
    </row>
    <row r="317" spans="1:20" ht="12.75">
      <c r="A317" s="938"/>
      <c r="B317" s="34">
        <v>6</v>
      </c>
      <c r="C317" s="205" t="s">
        <v>342</v>
      </c>
      <c r="D317" s="135">
        <v>7</v>
      </c>
      <c r="E317" s="135">
        <v>1900</v>
      </c>
      <c r="F317" s="222">
        <v>9.245</v>
      </c>
      <c r="G317" s="222">
        <v>0.553452</v>
      </c>
      <c r="H317" s="696">
        <v>0.96</v>
      </c>
      <c r="I317" s="222">
        <v>7.731549</v>
      </c>
      <c r="J317" s="277">
        <v>263.54</v>
      </c>
      <c r="K317" s="388">
        <f t="shared" si="58"/>
        <v>4.590992270661</v>
      </c>
      <c r="L317" s="277">
        <v>156.49</v>
      </c>
      <c r="M317" s="146">
        <f t="shared" si="59"/>
        <v>0.0293372884571602</v>
      </c>
      <c r="N317" s="147">
        <v>297.68</v>
      </c>
      <c r="O317" s="148">
        <f t="shared" si="60"/>
        <v>8.733124027927449</v>
      </c>
      <c r="P317" s="208">
        <f t="shared" si="61"/>
        <v>1760.237307429612</v>
      </c>
      <c r="Q317" s="149">
        <f t="shared" si="62"/>
        <v>523.9874416756469</v>
      </c>
      <c r="S317" s="88"/>
      <c r="T317" s="88"/>
    </row>
    <row r="318" spans="1:20" ht="12.75">
      <c r="A318" s="938"/>
      <c r="B318" s="34">
        <v>7</v>
      </c>
      <c r="C318" s="205" t="s">
        <v>423</v>
      </c>
      <c r="D318" s="135">
        <v>16</v>
      </c>
      <c r="E318" s="135">
        <v>1960</v>
      </c>
      <c r="F318" s="222">
        <v>20.2021</v>
      </c>
      <c r="G318" s="222">
        <v>0.816</v>
      </c>
      <c r="H318" s="696">
        <v>1.51</v>
      </c>
      <c r="I318" s="222">
        <v>17.876102</v>
      </c>
      <c r="J318" s="277">
        <v>608.3</v>
      </c>
      <c r="K318" s="388">
        <f t="shared" si="58"/>
        <v>16.742058310734837</v>
      </c>
      <c r="L318" s="277">
        <v>569.71</v>
      </c>
      <c r="M318" s="146">
        <f t="shared" si="59"/>
        <v>0.029386983396350486</v>
      </c>
      <c r="N318" s="147">
        <v>297.68</v>
      </c>
      <c r="O318" s="148">
        <f t="shared" si="60"/>
        <v>8.747917217425613</v>
      </c>
      <c r="P318" s="208">
        <f t="shared" si="61"/>
        <v>1763.2190037810292</v>
      </c>
      <c r="Q318" s="149">
        <f t="shared" si="62"/>
        <v>524.8750330455368</v>
      </c>
      <c r="S318" s="88"/>
      <c r="T318" s="88"/>
    </row>
    <row r="319" spans="1:20" ht="12.75">
      <c r="A319" s="938"/>
      <c r="B319" s="34">
        <v>8</v>
      </c>
      <c r="C319" s="205" t="s">
        <v>339</v>
      </c>
      <c r="D319" s="135">
        <v>10</v>
      </c>
      <c r="E319" s="135">
        <v>1958</v>
      </c>
      <c r="F319" s="222">
        <v>15.756</v>
      </c>
      <c r="G319" s="222">
        <v>0.816</v>
      </c>
      <c r="H319" s="696">
        <v>1.52</v>
      </c>
      <c r="I319" s="222">
        <v>13.42</v>
      </c>
      <c r="J319" s="277">
        <v>454.98</v>
      </c>
      <c r="K319" s="388">
        <f t="shared" si="58"/>
        <v>13.42</v>
      </c>
      <c r="L319" s="277">
        <v>454.98</v>
      </c>
      <c r="M319" s="146">
        <f t="shared" si="59"/>
        <v>0.029495802013275306</v>
      </c>
      <c r="N319" s="147">
        <v>297.68</v>
      </c>
      <c r="O319" s="148">
        <f t="shared" si="60"/>
        <v>8.780310343311793</v>
      </c>
      <c r="P319" s="208">
        <f t="shared" si="61"/>
        <v>1769.7481207965184</v>
      </c>
      <c r="Q319" s="149">
        <f t="shared" si="62"/>
        <v>526.8186205987075</v>
      </c>
      <c r="S319" s="88"/>
      <c r="T319" s="88"/>
    </row>
    <row r="320" spans="1:20" ht="12.75">
      <c r="A320" s="939"/>
      <c r="B320" s="75">
        <v>9</v>
      </c>
      <c r="C320" s="205" t="s">
        <v>597</v>
      </c>
      <c r="D320" s="135">
        <v>8</v>
      </c>
      <c r="E320" s="135">
        <v>1963</v>
      </c>
      <c r="F320" s="222">
        <v>11.665</v>
      </c>
      <c r="G320" s="222">
        <v>0.867</v>
      </c>
      <c r="H320" s="696">
        <v>0.07</v>
      </c>
      <c r="I320" s="222">
        <v>10.727999</v>
      </c>
      <c r="J320" s="277">
        <v>361.13</v>
      </c>
      <c r="K320" s="388">
        <f t="shared" si="58"/>
        <v>4.9244881184891875</v>
      </c>
      <c r="L320" s="277">
        <v>165.77</v>
      </c>
      <c r="M320" s="146">
        <f t="shared" si="59"/>
        <v>0.02970675103148451</v>
      </c>
      <c r="N320" s="147">
        <v>297.68</v>
      </c>
      <c r="O320" s="148">
        <f t="shared" si="60"/>
        <v>8.843105647052308</v>
      </c>
      <c r="P320" s="208">
        <f t="shared" si="61"/>
        <v>1782.4050618890706</v>
      </c>
      <c r="Q320" s="149">
        <f t="shared" si="62"/>
        <v>530.5863388231385</v>
      </c>
      <c r="S320" s="88"/>
      <c r="T320" s="88"/>
    </row>
    <row r="321" spans="1:20" ht="13.5" thickBot="1">
      <c r="A321" s="940"/>
      <c r="B321" s="36">
        <v>10</v>
      </c>
      <c r="C321" s="216" t="s">
        <v>193</v>
      </c>
      <c r="D321" s="136">
        <v>12</v>
      </c>
      <c r="E321" s="136">
        <v>1961</v>
      </c>
      <c r="F321" s="312">
        <v>18.0916</v>
      </c>
      <c r="G321" s="312">
        <v>0.612</v>
      </c>
      <c r="H321" s="697">
        <v>1.92</v>
      </c>
      <c r="I321" s="525">
        <v>15.559599</v>
      </c>
      <c r="J321" s="587">
        <v>513.65</v>
      </c>
      <c r="K321" s="477">
        <f t="shared" si="58"/>
        <v>15.559599</v>
      </c>
      <c r="L321" s="587">
        <v>513.65</v>
      </c>
      <c r="M321" s="585">
        <f t="shared" si="59"/>
        <v>0.030292220383529644</v>
      </c>
      <c r="N321" s="586">
        <v>297.68</v>
      </c>
      <c r="O321" s="498">
        <f t="shared" si="60"/>
        <v>9.017388163769105</v>
      </c>
      <c r="P321" s="498">
        <f t="shared" si="61"/>
        <v>1817.5332230117788</v>
      </c>
      <c r="Q321" s="539">
        <f t="shared" si="62"/>
        <v>541.0432898261463</v>
      </c>
      <c r="S321" s="88"/>
      <c r="T321" s="88"/>
    </row>
    <row r="322" spans="1:20" ht="12.75">
      <c r="A322" s="964" t="s">
        <v>12</v>
      </c>
      <c r="B322" s="39">
        <v>1</v>
      </c>
      <c r="C322" s="166" t="s">
        <v>338</v>
      </c>
      <c r="D322" s="167">
        <v>8</v>
      </c>
      <c r="E322" s="167">
        <v>1962</v>
      </c>
      <c r="F322" s="250">
        <v>12.469</v>
      </c>
      <c r="G322" s="250">
        <v>0.306</v>
      </c>
      <c r="H322" s="698">
        <v>0.97</v>
      </c>
      <c r="I322" s="250">
        <v>11.193</v>
      </c>
      <c r="J322" s="274">
        <v>366.73</v>
      </c>
      <c r="K322" s="250">
        <f t="shared" si="58"/>
        <v>11.193</v>
      </c>
      <c r="L322" s="274">
        <v>366.73</v>
      </c>
      <c r="M322" s="320">
        <f t="shared" si="59"/>
        <v>0.03052109181141439</v>
      </c>
      <c r="N322" s="256">
        <v>297.68</v>
      </c>
      <c r="O322" s="321">
        <f t="shared" si="60"/>
        <v>9.085518610421836</v>
      </c>
      <c r="P322" s="321">
        <f t="shared" si="61"/>
        <v>1831.2655086848636</v>
      </c>
      <c r="Q322" s="322">
        <f t="shared" si="62"/>
        <v>545.1311166253101</v>
      </c>
      <c r="S322" s="88"/>
      <c r="T322" s="88"/>
    </row>
    <row r="323" spans="1:20" ht="12.75">
      <c r="A323" s="965"/>
      <c r="B323" s="41">
        <v>2</v>
      </c>
      <c r="C323" s="169" t="s">
        <v>425</v>
      </c>
      <c r="D323" s="137">
        <v>9</v>
      </c>
      <c r="E323" s="137">
        <v>1965</v>
      </c>
      <c r="F323" s="218">
        <v>13.331</v>
      </c>
      <c r="G323" s="218">
        <v>0.867</v>
      </c>
      <c r="H323" s="437">
        <v>0.07</v>
      </c>
      <c r="I323" s="218">
        <v>12.394001</v>
      </c>
      <c r="J323" s="275">
        <v>399.34</v>
      </c>
      <c r="K323" s="389">
        <f t="shared" si="58"/>
        <v>12.394001</v>
      </c>
      <c r="L323" s="275">
        <v>399.34</v>
      </c>
      <c r="M323" s="150">
        <f t="shared" si="59"/>
        <v>0.03103621225021285</v>
      </c>
      <c r="N323" s="151">
        <v>297.68</v>
      </c>
      <c r="O323" s="152">
        <f t="shared" si="60"/>
        <v>9.238859662643362</v>
      </c>
      <c r="P323" s="171">
        <f t="shared" si="61"/>
        <v>1862.172735012771</v>
      </c>
      <c r="Q323" s="153">
        <f t="shared" si="62"/>
        <v>554.3315797586017</v>
      </c>
      <c r="S323" s="88"/>
      <c r="T323" s="88"/>
    </row>
    <row r="324" spans="1:20" ht="12.75">
      <c r="A324" s="965"/>
      <c r="B324" s="41">
        <v>3</v>
      </c>
      <c r="C324" s="169" t="s">
        <v>340</v>
      </c>
      <c r="D324" s="137">
        <v>12</v>
      </c>
      <c r="E324" s="137">
        <v>1973</v>
      </c>
      <c r="F324" s="218">
        <v>15.959</v>
      </c>
      <c r="G324" s="218">
        <v>0</v>
      </c>
      <c r="H324" s="437">
        <v>0</v>
      </c>
      <c r="I324" s="218">
        <v>15.959002</v>
      </c>
      <c r="J324" s="275">
        <v>510.06</v>
      </c>
      <c r="K324" s="389">
        <f t="shared" si="58"/>
        <v>15.959002</v>
      </c>
      <c r="L324" s="275">
        <v>510.06</v>
      </c>
      <c r="M324" s="150">
        <f t="shared" si="59"/>
        <v>0.03128847978669176</v>
      </c>
      <c r="N324" s="151">
        <v>297.68</v>
      </c>
      <c r="O324" s="152">
        <f t="shared" si="60"/>
        <v>9.313954662902404</v>
      </c>
      <c r="P324" s="171">
        <f t="shared" si="61"/>
        <v>1877.3087872015058</v>
      </c>
      <c r="Q324" s="153">
        <f t="shared" si="62"/>
        <v>558.8372797741442</v>
      </c>
      <c r="S324" s="88"/>
      <c r="T324" s="88"/>
    </row>
    <row r="325" spans="1:20" ht="12.75">
      <c r="A325" s="965"/>
      <c r="B325" s="41">
        <v>4</v>
      </c>
      <c r="C325" s="169" t="s">
        <v>598</v>
      </c>
      <c r="D325" s="137">
        <v>3</v>
      </c>
      <c r="E325" s="137">
        <v>1938</v>
      </c>
      <c r="F325" s="218">
        <v>6.272</v>
      </c>
      <c r="G325" s="218">
        <v>0.204</v>
      </c>
      <c r="H325" s="437">
        <v>0.49</v>
      </c>
      <c r="I325" s="218">
        <v>5.577999</v>
      </c>
      <c r="J325" s="275">
        <v>176.22</v>
      </c>
      <c r="K325" s="389">
        <f t="shared" si="58"/>
        <v>2.5408352044603335</v>
      </c>
      <c r="L325" s="275">
        <v>80.27</v>
      </c>
      <c r="M325" s="150">
        <f t="shared" si="59"/>
        <v>0.03165360912495744</v>
      </c>
      <c r="N325" s="151">
        <v>297.68</v>
      </c>
      <c r="O325" s="152">
        <f t="shared" si="60"/>
        <v>9.42264636431733</v>
      </c>
      <c r="P325" s="171">
        <f t="shared" si="61"/>
        <v>1899.2165474974463</v>
      </c>
      <c r="Q325" s="153">
        <f t="shared" si="62"/>
        <v>565.3587818590398</v>
      </c>
      <c r="S325" s="88"/>
      <c r="T325" s="88"/>
    </row>
    <row r="326" spans="1:20" ht="12.75">
      <c r="A326" s="965"/>
      <c r="B326" s="41">
        <v>5</v>
      </c>
      <c r="C326" s="169" t="s">
        <v>195</v>
      </c>
      <c r="D326" s="137">
        <v>6</v>
      </c>
      <c r="E326" s="137">
        <v>1959</v>
      </c>
      <c r="F326" s="218">
        <v>11.4</v>
      </c>
      <c r="G326" s="218">
        <v>0.3315</v>
      </c>
      <c r="H326" s="437">
        <v>0.96</v>
      </c>
      <c r="I326" s="218">
        <v>10.108501</v>
      </c>
      <c r="J326" s="275">
        <v>317.83</v>
      </c>
      <c r="K326" s="389">
        <f t="shared" si="58"/>
        <v>10.108501</v>
      </c>
      <c r="L326" s="275">
        <v>317.83</v>
      </c>
      <c r="M326" s="150">
        <f t="shared" si="59"/>
        <v>0.031804741528490076</v>
      </c>
      <c r="N326" s="151">
        <v>297.68</v>
      </c>
      <c r="O326" s="152">
        <f t="shared" si="60"/>
        <v>9.467635458200926</v>
      </c>
      <c r="P326" s="171">
        <f t="shared" si="61"/>
        <v>1908.2844917094046</v>
      </c>
      <c r="Q326" s="153">
        <f t="shared" si="62"/>
        <v>568.0581274920555</v>
      </c>
      <c r="S326" s="88"/>
      <c r="T326" s="88"/>
    </row>
    <row r="327" spans="1:20" ht="12.75">
      <c r="A327" s="965"/>
      <c r="B327" s="41">
        <v>6</v>
      </c>
      <c r="C327" s="169" t="s">
        <v>343</v>
      </c>
      <c r="D327" s="137">
        <v>83</v>
      </c>
      <c r="E327" s="137">
        <v>1963</v>
      </c>
      <c r="F327" s="218">
        <v>49.189</v>
      </c>
      <c r="G327" s="218">
        <v>0</v>
      </c>
      <c r="H327" s="437">
        <v>0</v>
      </c>
      <c r="I327" s="218">
        <v>49.189004</v>
      </c>
      <c r="J327" s="275">
        <v>1484.32</v>
      </c>
      <c r="K327" s="389">
        <f t="shared" si="58"/>
        <v>46.78144960431713</v>
      </c>
      <c r="L327" s="275">
        <v>1411.67</v>
      </c>
      <c r="M327" s="150">
        <f t="shared" si="59"/>
        <v>0.03313908321655708</v>
      </c>
      <c r="N327" s="151">
        <v>297.68</v>
      </c>
      <c r="O327" s="152">
        <f t="shared" si="60"/>
        <v>9.864842291904711</v>
      </c>
      <c r="P327" s="171">
        <f t="shared" si="61"/>
        <v>1988.3449929934247</v>
      </c>
      <c r="Q327" s="153">
        <f t="shared" si="62"/>
        <v>591.8905375142828</v>
      </c>
      <c r="S327" s="88"/>
      <c r="T327" s="88"/>
    </row>
    <row r="328" spans="1:20" ht="12.75">
      <c r="A328" s="965"/>
      <c r="B328" s="41">
        <v>7</v>
      </c>
      <c r="C328" s="169" t="s">
        <v>426</v>
      </c>
      <c r="D328" s="137">
        <v>8</v>
      </c>
      <c r="E328" s="137">
        <v>1968</v>
      </c>
      <c r="F328" s="218">
        <v>13.533</v>
      </c>
      <c r="G328" s="218">
        <v>0.357</v>
      </c>
      <c r="H328" s="437">
        <v>0.07</v>
      </c>
      <c r="I328" s="218">
        <v>13.106</v>
      </c>
      <c r="J328" s="275">
        <v>394.35</v>
      </c>
      <c r="K328" s="389">
        <f t="shared" si="58"/>
        <v>13.106</v>
      </c>
      <c r="L328" s="275">
        <v>394.35</v>
      </c>
      <c r="M328" s="150">
        <f t="shared" si="59"/>
        <v>0.03323443641435273</v>
      </c>
      <c r="N328" s="151">
        <v>297.68</v>
      </c>
      <c r="O328" s="152">
        <f t="shared" si="60"/>
        <v>9.893227031824521</v>
      </c>
      <c r="P328" s="171">
        <f t="shared" si="61"/>
        <v>1994.0661848611637</v>
      </c>
      <c r="Q328" s="153">
        <f t="shared" si="62"/>
        <v>593.5936219094713</v>
      </c>
      <c r="S328" s="88"/>
      <c r="T328" s="88"/>
    </row>
    <row r="329" spans="1:20" ht="12.75">
      <c r="A329" s="965"/>
      <c r="B329" s="41">
        <v>8</v>
      </c>
      <c r="C329" s="169" t="s">
        <v>599</v>
      </c>
      <c r="D329" s="137">
        <v>3</v>
      </c>
      <c r="E329" s="137">
        <v>1935</v>
      </c>
      <c r="F329" s="218">
        <v>11.2083</v>
      </c>
      <c r="G329" s="218">
        <v>0.051</v>
      </c>
      <c r="H329" s="437">
        <v>0.32</v>
      </c>
      <c r="I329" s="218">
        <v>10.8373</v>
      </c>
      <c r="J329" s="275">
        <v>321.48</v>
      </c>
      <c r="K329" s="389">
        <f t="shared" si="58"/>
        <v>10.837299999999999</v>
      </c>
      <c r="L329" s="275">
        <v>321.48</v>
      </c>
      <c r="M329" s="150">
        <f t="shared" si="59"/>
        <v>0.03371065074032599</v>
      </c>
      <c r="N329" s="151">
        <v>297.68</v>
      </c>
      <c r="O329" s="152">
        <f t="shared" si="60"/>
        <v>10.034986512380241</v>
      </c>
      <c r="P329" s="171">
        <f t="shared" si="61"/>
        <v>2022.6390444195595</v>
      </c>
      <c r="Q329" s="153">
        <f t="shared" si="62"/>
        <v>602.0991907428145</v>
      </c>
      <c r="S329" s="88"/>
      <c r="T329" s="88"/>
    </row>
    <row r="330" spans="1:20" ht="12.75">
      <c r="A330" s="965"/>
      <c r="B330" s="41">
        <v>9</v>
      </c>
      <c r="C330" s="257" t="s">
        <v>194</v>
      </c>
      <c r="D330" s="137">
        <v>4</v>
      </c>
      <c r="E330" s="137">
        <v>1870</v>
      </c>
      <c r="F330" s="218">
        <v>6.982</v>
      </c>
      <c r="G330" s="218">
        <v>0.4845</v>
      </c>
      <c r="H330" s="437">
        <v>0.64</v>
      </c>
      <c r="I330" s="218">
        <v>5.857501</v>
      </c>
      <c r="J330" s="275">
        <v>160.97</v>
      </c>
      <c r="K330" s="389">
        <f t="shared" si="58"/>
        <v>5.857501</v>
      </c>
      <c r="L330" s="275">
        <v>160.97</v>
      </c>
      <c r="M330" s="150">
        <f t="shared" si="59"/>
        <v>0.03638877430577126</v>
      </c>
      <c r="N330" s="151">
        <v>297.68</v>
      </c>
      <c r="O330" s="152">
        <f t="shared" si="60"/>
        <v>10.832210335341989</v>
      </c>
      <c r="P330" s="171">
        <f t="shared" si="61"/>
        <v>2183.3264583462756</v>
      </c>
      <c r="Q330" s="153">
        <f t="shared" si="62"/>
        <v>649.9326201205193</v>
      </c>
      <c r="S330" s="88"/>
      <c r="T330" s="88"/>
    </row>
    <row r="331" spans="1:20" ht="13.5" thickBot="1">
      <c r="A331" s="966"/>
      <c r="B331" s="45">
        <v>10</v>
      </c>
      <c r="C331" s="258" t="s">
        <v>192</v>
      </c>
      <c r="D331" s="138">
        <v>5</v>
      </c>
      <c r="E331" s="138">
        <v>1938</v>
      </c>
      <c r="F331" s="251">
        <v>6.012</v>
      </c>
      <c r="G331" s="251">
        <v>0</v>
      </c>
      <c r="H331" s="699">
        <v>0.04</v>
      </c>
      <c r="I331" s="251">
        <v>5.985838</v>
      </c>
      <c r="J331" s="365">
        <v>152.85</v>
      </c>
      <c r="K331" s="357">
        <f t="shared" si="58"/>
        <v>5.985838</v>
      </c>
      <c r="L331" s="365">
        <v>152.85</v>
      </c>
      <c r="M331" s="154">
        <f t="shared" si="59"/>
        <v>0.039161517827935886</v>
      </c>
      <c r="N331" s="155">
        <v>297.68</v>
      </c>
      <c r="O331" s="156">
        <f t="shared" si="60"/>
        <v>11.657600627019955</v>
      </c>
      <c r="P331" s="156">
        <f t="shared" si="61"/>
        <v>2349.6910696761533</v>
      </c>
      <c r="Q331" s="157">
        <f t="shared" si="62"/>
        <v>699.4560376211973</v>
      </c>
      <c r="S331" s="88"/>
      <c r="T331" s="88"/>
    </row>
    <row r="332" spans="19:20" ht="12.75">
      <c r="S332" s="88"/>
      <c r="T332" s="88"/>
    </row>
    <row r="333" spans="19:20" ht="12.75">
      <c r="S333" s="88"/>
      <c r="T333" s="88"/>
    </row>
    <row r="334" spans="19:20" ht="12.75">
      <c r="S334" s="88"/>
      <c r="T334" s="88"/>
    </row>
    <row r="335" spans="19:20" ht="12.75">
      <c r="S335" s="88"/>
      <c r="T335" s="88"/>
    </row>
    <row r="336" spans="1:20" ht="15">
      <c r="A336" s="967" t="s">
        <v>60</v>
      </c>
      <c r="B336" s="967"/>
      <c r="C336" s="967"/>
      <c r="D336" s="967"/>
      <c r="E336" s="967"/>
      <c r="F336" s="967"/>
      <c r="G336" s="967"/>
      <c r="H336" s="967"/>
      <c r="I336" s="967"/>
      <c r="J336" s="967"/>
      <c r="K336" s="967"/>
      <c r="L336" s="967"/>
      <c r="M336" s="967"/>
      <c r="N336" s="967"/>
      <c r="O336" s="967"/>
      <c r="P336" s="967"/>
      <c r="Q336" s="967"/>
      <c r="S336" s="88"/>
      <c r="T336" s="88"/>
    </row>
    <row r="337" spans="1:20" ht="13.5" thickBot="1">
      <c r="A337" s="968" t="s">
        <v>600</v>
      </c>
      <c r="B337" s="968"/>
      <c r="C337" s="968"/>
      <c r="D337" s="968"/>
      <c r="E337" s="968"/>
      <c r="F337" s="968"/>
      <c r="G337" s="968"/>
      <c r="H337" s="968"/>
      <c r="I337" s="968"/>
      <c r="J337" s="968"/>
      <c r="K337" s="968"/>
      <c r="L337" s="968"/>
      <c r="M337" s="968"/>
      <c r="N337" s="968"/>
      <c r="O337" s="968"/>
      <c r="P337" s="968"/>
      <c r="Q337" s="968"/>
      <c r="S337" s="88"/>
      <c r="T337" s="88"/>
    </row>
    <row r="338" spans="1:20" ht="12.75" customHeight="1">
      <c r="A338" s="952" t="s">
        <v>1</v>
      </c>
      <c r="B338" s="955" t="s">
        <v>0</v>
      </c>
      <c r="C338" s="944" t="s">
        <v>2</v>
      </c>
      <c r="D338" s="944" t="s">
        <v>3</v>
      </c>
      <c r="E338" s="944" t="s">
        <v>13</v>
      </c>
      <c r="F338" s="960" t="s">
        <v>14</v>
      </c>
      <c r="G338" s="961"/>
      <c r="H338" s="961"/>
      <c r="I338" s="962"/>
      <c r="J338" s="944" t="s">
        <v>4</v>
      </c>
      <c r="K338" s="944" t="s">
        <v>15</v>
      </c>
      <c r="L338" s="944" t="s">
        <v>5</v>
      </c>
      <c r="M338" s="944" t="s">
        <v>6</v>
      </c>
      <c r="N338" s="944" t="s">
        <v>16</v>
      </c>
      <c r="O338" s="969" t="s">
        <v>17</v>
      </c>
      <c r="P338" s="944" t="s">
        <v>25</v>
      </c>
      <c r="Q338" s="929" t="s">
        <v>26</v>
      </c>
      <c r="S338" s="88"/>
      <c r="T338" s="88"/>
    </row>
    <row r="339" spans="1:20" s="2" customFormat="1" ht="33.75">
      <c r="A339" s="953"/>
      <c r="B339" s="956"/>
      <c r="C339" s="958"/>
      <c r="D339" s="945"/>
      <c r="E339" s="945"/>
      <c r="F339" s="37" t="s">
        <v>18</v>
      </c>
      <c r="G339" s="37" t="s">
        <v>19</v>
      </c>
      <c r="H339" s="37" t="s">
        <v>20</v>
      </c>
      <c r="I339" s="37" t="s">
        <v>21</v>
      </c>
      <c r="J339" s="945"/>
      <c r="K339" s="945"/>
      <c r="L339" s="945"/>
      <c r="M339" s="945"/>
      <c r="N339" s="945"/>
      <c r="O339" s="970"/>
      <c r="P339" s="945"/>
      <c r="Q339" s="930"/>
      <c r="S339" s="88"/>
      <c r="T339" s="88"/>
    </row>
    <row r="340" spans="1:20" s="3" customFormat="1" ht="13.5" customHeight="1" thickBot="1">
      <c r="A340" s="953"/>
      <c r="B340" s="956"/>
      <c r="C340" s="959"/>
      <c r="D340" s="58" t="s">
        <v>7</v>
      </c>
      <c r="E340" s="58" t="s">
        <v>8</v>
      </c>
      <c r="F340" s="58" t="s">
        <v>9</v>
      </c>
      <c r="G340" s="58" t="s">
        <v>9</v>
      </c>
      <c r="H340" s="58" t="s">
        <v>9</v>
      </c>
      <c r="I340" s="58" t="s">
        <v>9</v>
      </c>
      <c r="J340" s="58" t="s">
        <v>22</v>
      </c>
      <c r="K340" s="58" t="s">
        <v>9</v>
      </c>
      <c r="L340" s="58" t="s">
        <v>22</v>
      </c>
      <c r="M340" s="58" t="s">
        <v>23</v>
      </c>
      <c r="N340" s="58" t="s">
        <v>10</v>
      </c>
      <c r="O340" s="58" t="s">
        <v>24</v>
      </c>
      <c r="P340" s="59" t="s">
        <v>27</v>
      </c>
      <c r="Q340" s="60" t="s">
        <v>28</v>
      </c>
      <c r="S340" s="88"/>
      <c r="T340" s="88"/>
    </row>
    <row r="341" spans="1:20" ht="11.25" customHeight="1">
      <c r="A341" s="949" t="s">
        <v>29</v>
      </c>
      <c r="B341" s="752">
        <v>1</v>
      </c>
      <c r="C341" s="877" t="s">
        <v>196</v>
      </c>
      <c r="D341" s="873">
        <v>30</v>
      </c>
      <c r="E341" s="710">
        <v>1987</v>
      </c>
      <c r="F341" s="712">
        <v>22.211986</v>
      </c>
      <c r="G341" s="712">
        <v>2.856</v>
      </c>
      <c r="H341" s="712">
        <v>4.8</v>
      </c>
      <c r="I341" s="711">
        <v>14.555986</v>
      </c>
      <c r="J341" s="759">
        <v>1509.61</v>
      </c>
      <c r="K341" s="712">
        <v>13.706789</v>
      </c>
      <c r="L341" s="713">
        <v>1453.73</v>
      </c>
      <c r="M341" s="714">
        <f>K341/L341</f>
        <v>0.009428703404346062</v>
      </c>
      <c r="N341" s="715">
        <v>242.9</v>
      </c>
      <c r="O341" s="716">
        <f aca="true" t="shared" si="63" ref="O341:O348">M341*N341</f>
        <v>2.2902320569156585</v>
      </c>
      <c r="P341" s="716">
        <f aca="true" t="shared" si="64" ref="P341:P348">M341*60*1000</f>
        <v>565.7222042607636</v>
      </c>
      <c r="Q341" s="717">
        <f aca="true" t="shared" si="65" ref="Q341:Q348">P341*N341/1000</f>
        <v>137.4139234149395</v>
      </c>
      <c r="S341" s="88"/>
      <c r="T341" s="88"/>
    </row>
    <row r="342" spans="1:20" ht="12.75" customHeight="1">
      <c r="A342" s="950"/>
      <c r="B342" s="725">
        <v>2</v>
      </c>
      <c r="C342" s="877" t="s">
        <v>601</v>
      </c>
      <c r="D342" s="873">
        <v>53</v>
      </c>
      <c r="E342" s="710">
        <v>1973</v>
      </c>
      <c r="F342" s="711">
        <v>41.619978</v>
      </c>
      <c r="G342" s="711">
        <v>3.581169</v>
      </c>
      <c r="H342" s="711">
        <v>8.01</v>
      </c>
      <c r="I342" s="711">
        <v>30.028809</v>
      </c>
      <c r="J342" s="719">
        <v>2745.79</v>
      </c>
      <c r="K342" s="711">
        <v>26.58783</v>
      </c>
      <c r="L342" s="719">
        <v>2628.69</v>
      </c>
      <c r="M342" s="714">
        <f>K342/L342</f>
        <v>0.010114479075128677</v>
      </c>
      <c r="N342" s="715">
        <v>242.9</v>
      </c>
      <c r="O342" s="716">
        <f t="shared" si="63"/>
        <v>2.4568069673487556</v>
      </c>
      <c r="P342" s="716">
        <f t="shared" si="64"/>
        <v>606.8687445077205</v>
      </c>
      <c r="Q342" s="717">
        <f t="shared" si="65"/>
        <v>147.4084180409253</v>
      </c>
      <c r="S342" s="88"/>
      <c r="T342" s="88"/>
    </row>
    <row r="343" spans="1:20" ht="12.75" customHeight="1">
      <c r="A343" s="950"/>
      <c r="B343" s="725">
        <v>3</v>
      </c>
      <c r="C343" s="724" t="s">
        <v>602</v>
      </c>
      <c r="D343" s="710">
        <v>12</v>
      </c>
      <c r="E343" s="710">
        <v>1960</v>
      </c>
      <c r="F343" s="711">
        <v>8.407994</v>
      </c>
      <c r="G343" s="711">
        <v>0.765</v>
      </c>
      <c r="H343" s="711">
        <v>1.84</v>
      </c>
      <c r="I343" s="711">
        <v>5.802994</v>
      </c>
      <c r="J343" s="719">
        <v>536.88</v>
      </c>
      <c r="K343" s="711">
        <v>4.157946</v>
      </c>
      <c r="L343" s="719">
        <v>400.83</v>
      </c>
      <c r="M343" s="721">
        <f aca="true" t="shared" si="66" ref="M343:M348">K343/L343</f>
        <v>0.01037334031883841</v>
      </c>
      <c r="N343" s="715">
        <v>242.9</v>
      </c>
      <c r="O343" s="716">
        <f t="shared" si="63"/>
        <v>2.51968436344585</v>
      </c>
      <c r="P343" s="716">
        <f t="shared" si="64"/>
        <v>622.4004191303046</v>
      </c>
      <c r="Q343" s="722">
        <f t="shared" si="65"/>
        <v>151.18106180675102</v>
      </c>
      <c r="S343" s="88"/>
      <c r="T343" s="88"/>
    </row>
    <row r="344" spans="1:20" ht="12.75" customHeight="1">
      <c r="A344" s="950"/>
      <c r="B344" s="725">
        <v>4</v>
      </c>
      <c r="C344" s="724" t="s">
        <v>603</v>
      </c>
      <c r="D344" s="710">
        <v>16</v>
      </c>
      <c r="E344" s="710">
        <v>1984</v>
      </c>
      <c r="F344" s="711">
        <v>10.344076</v>
      </c>
      <c r="G344" s="711">
        <v>0.663</v>
      </c>
      <c r="H344" s="711">
        <v>1.76</v>
      </c>
      <c r="I344" s="711">
        <v>7.921076</v>
      </c>
      <c r="J344" s="719">
        <v>766.75</v>
      </c>
      <c r="K344" s="711">
        <v>6.499577</v>
      </c>
      <c r="L344" s="719">
        <v>609.7</v>
      </c>
      <c r="M344" s="721">
        <f t="shared" si="66"/>
        <v>0.01066028702640643</v>
      </c>
      <c r="N344" s="715">
        <v>242.9</v>
      </c>
      <c r="O344" s="723">
        <f t="shared" si="63"/>
        <v>2.5893837187141218</v>
      </c>
      <c r="P344" s="716">
        <f t="shared" si="64"/>
        <v>639.6172215843858</v>
      </c>
      <c r="Q344" s="722">
        <f t="shared" si="65"/>
        <v>155.36302312284732</v>
      </c>
      <c r="S344" s="88"/>
      <c r="T344" s="88"/>
    </row>
    <row r="345" spans="1:20" ht="12.75" customHeight="1">
      <c r="A345" s="950"/>
      <c r="B345" s="725">
        <v>5</v>
      </c>
      <c r="C345" s="724" t="s">
        <v>604</v>
      </c>
      <c r="D345" s="710">
        <v>34</v>
      </c>
      <c r="E345" s="710">
        <v>1973</v>
      </c>
      <c r="F345" s="711">
        <v>26.660986</v>
      </c>
      <c r="G345" s="711">
        <v>2.2185</v>
      </c>
      <c r="H345" s="711">
        <v>5.14</v>
      </c>
      <c r="I345" s="711">
        <v>19.302486</v>
      </c>
      <c r="J345" s="719">
        <v>1759.84</v>
      </c>
      <c r="K345" s="711">
        <v>19.3025</v>
      </c>
      <c r="L345" s="719">
        <v>1759.84</v>
      </c>
      <c r="M345" s="721">
        <f t="shared" si="66"/>
        <v>0.010968326666060551</v>
      </c>
      <c r="N345" s="715">
        <v>242.9</v>
      </c>
      <c r="O345" s="723">
        <f t="shared" si="63"/>
        <v>2.664206547186108</v>
      </c>
      <c r="P345" s="716">
        <f t="shared" si="64"/>
        <v>658.0995999636331</v>
      </c>
      <c r="Q345" s="722">
        <f t="shared" si="65"/>
        <v>159.85239283116647</v>
      </c>
      <c r="S345" s="88"/>
      <c r="T345" s="88"/>
    </row>
    <row r="346" spans="1:20" ht="12.75" customHeight="1">
      <c r="A346" s="950"/>
      <c r="B346" s="725">
        <v>6</v>
      </c>
      <c r="C346" s="724" t="s">
        <v>605</v>
      </c>
      <c r="D346" s="710">
        <v>16</v>
      </c>
      <c r="E346" s="710">
        <v>1961</v>
      </c>
      <c r="F346" s="711">
        <v>11.930753</v>
      </c>
      <c r="G346" s="711">
        <v>1.887</v>
      </c>
      <c r="H346" s="711">
        <v>2.56</v>
      </c>
      <c r="I346" s="711">
        <v>7.483753</v>
      </c>
      <c r="J346" s="719">
        <v>714.88</v>
      </c>
      <c r="K346" s="711">
        <v>6.383423</v>
      </c>
      <c r="L346" s="719">
        <v>567.24</v>
      </c>
      <c r="M346" s="721">
        <f t="shared" si="66"/>
        <v>0.011253478245539806</v>
      </c>
      <c r="N346" s="715">
        <v>242.9</v>
      </c>
      <c r="O346" s="723">
        <f t="shared" si="63"/>
        <v>2.733469865841619</v>
      </c>
      <c r="P346" s="716">
        <f t="shared" si="64"/>
        <v>675.2086947323884</v>
      </c>
      <c r="Q346" s="722">
        <f t="shared" si="65"/>
        <v>164.00819195049712</v>
      </c>
      <c r="S346" s="88"/>
      <c r="T346" s="88"/>
    </row>
    <row r="347" spans="1:20" ht="12.75" customHeight="1">
      <c r="A347" s="950"/>
      <c r="B347" s="725">
        <v>7</v>
      </c>
      <c r="C347" s="724" t="s">
        <v>606</v>
      </c>
      <c r="D347" s="710">
        <v>16</v>
      </c>
      <c r="E347" s="710">
        <v>1962</v>
      </c>
      <c r="F347" s="711">
        <v>11.0624</v>
      </c>
      <c r="G347" s="711">
        <v>1.071</v>
      </c>
      <c r="H347" s="711">
        <v>2.56</v>
      </c>
      <c r="I347" s="711">
        <v>7.4314</v>
      </c>
      <c r="J347" s="719">
        <v>719.91</v>
      </c>
      <c r="K347" s="711">
        <v>6.94</v>
      </c>
      <c r="L347" s="719">
        <v>583.82</v>
      </c>
      <c r="M347" s="721">
        <f t="shared" si="66"/>
        <v>0.011887225514713438</v>
      </c>
      <c r="N347" s="715">
        <v>242.9</v>
      </c>
      <c r="O347" s="723">
        <f t="shared" si="63"/>
        <v>2.887407077523894</v>
      </c>
      <c r="P347" s="716">
        <f t="shared" si="64"/>
        <v>713.2335308828062</v>
      </c>
      <c r="Q347" s="722">
        <f t="shared" si="65"/>
        <v>173.24442465143363</v>
      </c>
      <c r="S347" s="88"/>
      <c r="T347" s="88"/>
    </row>
    <row r="348" spans="1:20" ht="12.75" customHeight="1">
      <c r="A348" s="950"/>
      <c r="B348" s="725">
        <v>8</v>
      </c>
      <c r="C348" s="724" t="s">
        <v>607</v>
      </c>
      <c r="D348" s="710">
        <v>56</v>
      </c>
      <c r="E348" s="710">
        <v>1974</v>
      </c>
      <c r="F348" s="711">
        <v>59.099999</v>
      </c>
      <c r="G348" s="711">
        <v>4.8807</v>
      </c>
      <c r="H348" s="711">
        <v>8.8</v>
      </c>
      <c r="I348" s="711">
        <v>45.419299</v>
      </c>
      <c r="J348" s="719">
        <v>3394.62</v>
      </c>
      <c r="K348" s="711">
        <v>34.777595</v>
      </c>
      <c r="L348" s="719">
        <v>2739.68</v>
      </c>
      <c r="M348" s="721">
        <f t="shared" si="66"/>
        <v>0.012694035434795305</v>
      </c>
      <c r="N348" s="715">
        <v>242.9</v>
      </c>
      <c r="O348" s="723">
        <f t="shared" si="63"/>
        <v>3.08338120711178</v>
      </c>
      <c r="P348" s="716">
        <f t="shared" si="64"/>
        <v>761.6421260877183</v>
      </c>
      <c r="Q348" s="722">
        <f t="shared" si="65"/>
        <v>185.0028724267068</v>
      </c>
      <c r="S348" s="88"/>
      <c r="T348" s="88"/>
    </row>
    <row r="349" spans="1:20" ht="16.5" customHeight="1" thickBot="1">
      <c r="A349" s="951"/>
      <c r="B349" s="734"/>
      <c r="C349" s="735"/>
      <c r="D349" s="736"/>
      <c r="E349" s="736"/>
      <c r="F349" s="737"/>
      <c r="G349" s="737"/>
      <c r="H349" s="737"/>
      <c r="I349" s="737"/>
      <c r="J349" s="738"/>
      <c r="K349" s="737"/>
      <c r="L349" s="738"/>
      <c r="M349" s="739"/>
      <c r="N349" s="736"/>
      <c r="O349" s="741"/>
      <c r="P349" s="741"/>
      <c r="Q349" s="742"/>
      <c r="S349" s="88"/>
      <c r="T349" s="88"/>
    </row>
    <row r="350" spans="1:20" ht="12.75">
      <c r="A350" s="963" t="s">
        <v>30</v>
      </c>
      <c r="B350" s="32">
        <v>1</v>
      </c>
      <c r="C350" s="703" t="s">
        <v>427</v>
      </c>
      <c r="D350" s="217">
        <v>24</v>
      </c>
      <c r="E350" s="217">
        <v>1969</v>
      </c>
      <c r="F350" s="313">
        <v>26.969001</v>
      </c>
      <c r="G350" s="313">
        <v>1.620882</v>
      </c>
      <c r="H350" s="313">
        <v>3.68</v>
      </c>
      <c r="I350" s="313">
        <v>21.668119</v>
      </c>
      <c r="J350" s="276">
        <v>1137.96</v>
      </c>
      <c r="K350" s="313">
        <v>21.668119</v>
      </c>
      <c r="L350" s="390">
        <v>964.42</v>
      </c>
      <c r="M350" s="209">
        <f>K350/L350</f>
        <v>0.0224675131166919</v>
      </c>
      <c r="N350" s="220">
        <v>242.9</v>
      </c>
      <c r="O350" s="208">
        <f>M350*N350</f>
        <v>5.4573589360444625</v>
      </c>
      <c r="P350" s="208">
        <f>M350*60*1000</f>
        <v>1348.050787001514</v>
      </c>
      <c r="Q350" s="210">
        <f>P350*N350/1000</f>
        <v>327.4415361626677</v>
      </c>
      <c r="S350" s="88"/>
      <c r="T350" s="88"/>
    </row>
    <row r="351" spans="1:20" ht="12.75">
      <c r="A351" s="938"/>
      <c r="B351" s="34">
        <v>2</v>
      </c>
      <c r="C351" s="224" t="s">
        <v>428</v>
      </c>
      <c r="D351" s="135">
        <v>36</v>
      </c>
      <c r="E351" s="135">
        <v>1972</v>
      </c>
      <c r="F351" s="222">
        <v>43.441</v>
      </c>
      <c r="G351" s="222">
        <v>3.0855</v>
      </c>
      <c r="H351" s="222">
        <v>5.76</v>
      </c>
      <c r="I351" s="222">
        <v>34.5955</v>
      </c>
      <c r="J351" s="277">
        <v>1516.82</v>
      </c>
      <c r="K351" s="222">
        <v>33.334222</v>
      </c>
      <c r="L351" s="277">
        <v>1461.52</v>
      </c>
      <c r="M351" s="146">
        <f>K351/L351</f>
        <v>0.022807913678909626</v>
      </c>
      <c r="N351" s="220">
        <v>242.9</v>
      </c>
      <c r="O351" s="148">
        <f>M351*N351</f>
        <v>5.540042232607148</v>
      </c>
      <c r="P351" s="208">
        <f>M351*60*1000</f>
        <v>1368.4748207345776</v>
      </c>
      <c r="Q351" s="149">
        <f>P351*N351/1000</f>
        <v>332.40253395642895</v>
      </c>
      <c r="S351" s="88"/>
      <c r="T351" s="88"/>
    </row>
    <row r="352" spans="1:20" ht="12.75">
      <c r="A352" s="938"/>
      <c r="B352" s="34">
        <v>3</v>
      </c>
      <c r="C352" s="224" t="s">
        <v>197</v>
      </c>
      <c r="D352" s="135">
        <v>45</v>
      </c>
      <c r="E352" s="135">
        <v>1972</v>
      </c>
      <c r="F352" s="222">
        <v>53.253998</v>
      </c>
      <c r="G352" s="222">
        <v>3.927</v>
      </c>
      <c r="H352" s="222">
        <v>7.2</v>
      </c>
      <c r="I352" s="222">
        <v>42.126998</v>
      </c>
      <c r="J352" s="277">
        <v>1840.92</v>
      </c>
      <c r="K352" s="222">
        <v>42.126998</v>
      </c>
      <c r="L352" s="277">
        <v>1840.92</v>
      </c>
      <c r="M352" s="146">
        <f>K352/L352</f>
        <v>0.02288366577580775</v>
      </c>
      <c r="N352" s="220">
        <v>242.9</v>
      </c>
      <c r="O352" s="148">
        <f>M352*N352</f>
        <v>5.558442416943702</v>
      </c>
      <c r="P352" s="208">
        <f>M352*60*1000</f>
        <v>1373.019946548465</v>
      </c>
      <c r="Q352" s="149">
        <f>P352*N352/1000</f>
        <v>333.50654501662217</v>
      </c>
      <c r="S352" s="88"/>
      <c r="T352" s="88"/>
    </row>
    <row r="353" spans="1:20" ht="12.75">
      <c r="A353" s="938"/>
      <c r="B353" s="34">
        <v>4</v>
      </c>
      <c r="C353" s="224" t="s">
        <v>201</v>
      </c>
      <c r="D353" s="135">
        <v>23</v>
      </c>
      <c r="E353" s="135">
        <v>1970</v>
      </c>
      <c r="F353" s="222">
        <v>32.596996</v>
      </c>
      <c r="G353" s="222">
        <v>1.428</v>
      </c>
      <c r="H353" s="222">
        <v>3.52</v>
      </c>
      <c r="I353" s="222">
        <v>27.648996</v>
      </c>
      <c r="J353" s="277">
        <v>1095.22</v>
      </c>
      <c r="K353" s="222">
        <v>22.141996</v>
      </c>
      <c r="L353" s="277">
        <v>947.22</v>
      </c>
      <c r="M353" s="146">
        <f>K353/L353</f>
        <v>0.02337576909271341</v>
      </c>
      <c r="N353" s="220">
        <v>242.9</v>
      </c>
      <c r="O353" s="148">
        <f>M353*N353</f>
        <v>5.677974312620088</v>
      </c>
      <c r="P353" s="208">
        <f>M353*60*1000</f>
        <v>1402.5461455628044</v>
      </c>
      <c r="Q353" s="149">
        <f>P353*N353/1000</f>
        <v>340.67845875720525</v>
      </c>
      <c r="S353" s="88"/>
      <c r="T353" s="88"/>
    </row>
    <row r="354" spans="1:20" ht="12.75">
      <c r="A354" s="938"/>
      <c r="B354" s="34">
        <v>5</v>
      </c>
      <c r="C354" s="224" t="s">
        <v>344</v>
      </c>
      <c r="D354" s="135">
        <v>28</v>
      </c>
      <c r="E354" s="135">
        <v>1963</v>
      </c>
      <c r="F354" s="222">
        <v>31.920001</v>
      </c>
      <c r="G354" s="222">
        <v>3.162</v>
      </c>
      <c r="H354" s="222">
        <v>0</v>
      </c>
      <c r="I354" s="222">
        <v>28.758001</v>
      </c>
      <c r="J354" s="277">
        <v>1271.69</v>
      </c>
      <c r="K354" s="222">
        <v>17.234573</v>
      </c>
      <c r="L354" s="277">
        <v>731.26</v>
      </c>
      <c r="M354" s="146">
        <f>K354/L354</f>
        <v>0.023568324535732845</v>
      </c>
      <c r="N354" s="220">
        <v>242.9</v>
      </c>
      <c r="O354" s="148">
        <f>M354*N354</f>
        <v>5.724746029729508</v>
      </c>
      <c r="P354" s="208">
        <f>M354*60*1000</f>
        <v>1414.0994721439708</v>
      </c>
      <c r="Q354" s="149">
        <f>P354*N354/1000</f>
        <v>343.4847617837705</v>
      </c>
      <c r="S354" s="88"/>
      <c r="T354" s="88"/>
    </row>
    <row r="355" spans="1:20" ht="12.75">
      <c r="A355" s="938"/>
      <c r="B355" s="34">
        <v>6</v>
      </c>
      <c r="C355" s="704"/>
      <c r="D355" s="34"/>
      <c r="E355" s="34"/>
      <c r="F355" s="200"/>
      <c r="G355" s="200"/>
      <c r="H355" s="200"/>
      <c r="I355" s="200"/>
      <c r="J355" s="309"/>
      <c r="K355" s="200"/>
      <c r="L355" s="309"/>
      <c r="M355" s="301"/>
      <c r="N355" s="176"/>
      <c r="O355" s="338"/>
      <c r="P355" s="176"/>
      <c r="Q355" s="177"/>
      <c r="S355" s="88"/>
      <c r="T355" s="88"/>
    </row>
    <row r="356" spans="1:20" ht="12.75">
      <c r="A356" s="938"/>
      <c r="B356" s="34">
        <v>7</v>
      </c>
      <c r="C356" s="704"/>
      <c r="D356" s="34"/>
      <c r="E356" s="34"/>
      <c r="F356" s="200"/>
      <c r="G356" s="200"/>
      <c r="H356" s="200"/>
      <c r="I356" s="200"/>
      <c r="J356" s="309"/>
      <c r="K356" s="200"/>
      <c r="L356" s="309"/>
      <c r="M356" s="301"/>
      <c r="N356" s="176"/>
      <c r="O356" s="338"/>
      <c r="P356" s="176"/>
      <c r="Q356" s="177"/>
      <c r="S356" s="88"/>
      <c r="T356" s="88"/>
    </row>
    <row r="357" spans="1:20" ht="13.5" thickBot="1">
      <c r="A357" s="940"/>
      <c r="B357" s="36">
        <v>8</v>
      </c>
      <c r="C357" s="705"/>
      <c r="D357" s="36"/>
      <c r="E357" s="36"/>
      <c r="F357" s="374"/>
      <c r="G357" s="374"/>
      <c r="H357" s="374"/>
      <c r="I357" s="374"/>
      <c r="J357" s="311"/>
      <c r="K357" s="374"/>
      <c r="L357" s="311"/>
      <c r="M357" s="302"/>
      <c r="N357" s="303"/>
      <c r="O357" s="333"/>
      <c r="P357" s="303"/>
      <c r="Q357" s="304"/>
      <c r="S357" s="88"/>
      <c r="T357" s="88"/>
    </row>
    <row r="358" spans="1:20" ht="12.75" customHeight="1">
      <c r="A358" s="982" t="s">
        <v>12</v>
      </c>
      <c r="B358" s="39">
        <v>1</v>
      </c>
      <c r="C358" s="706" t="s">
        <v>199</v>
      </c>
      <c r="D358" s="167">
        <v>27</v>
      </c>
      <c r="E358" s="167">
        <v>1969</v>
      </c>
      <c r="F358" s="250">
        <v>41.755</v>
      </c>
      <c r="G358" s="250">
        <v>1.423155</v>
      </c>
      <c r="H358" s="250">
        <v>4</v>
      </c>
      <c r="I358" s="250">
        <v>36.331845</v>
      </c>
      <c r="J358" s="274">
        <v>1664.94</v>
      </c>
      <c r="K358" s="250">
        <v>21.505218</v>
      </c>
      <c r="L358" s="391">
        <v>902.67</v>
      </c>
      <c r="M358" s="170">
        <f aca="true" t="shared" si="67" ref="M358:M363">K358/L358</f>
        <v>0.023824008773970555</v>
      </c>
      <c r="N358" s="168">
        <v>242.9</v>
      </c>
      <c r="O358" s="171">
        <f aca="true" t="shared" si="68" ref="O358:O363">M358*N358</f>
        <v>5.786851731197448</v>
      </c>
      <c r="P358" s="171">
        <f aca="true" t="shared" si="69" ref="P358:P363">M358*60*1000</f>
        <v>1429.4405264382333</v>
      </c>
      <c r="Q358" s="172">
        <f aca="true" t="shared" si="70" ref="Q358:Q363">P358*N358/1000</f>
        <v>347.2111038718469</v>
      </c>
      <c r="S358" s="88"/>
      <c r="T358" s="88"/>
    </row>
    <row r="359" spans="1:20" ht="12.75">
      <c r="A359" s="983"/>
      <c r="B359" s="41">
        <v>2</v>
      </c>
      <c r="C359" s="225" t="s">
        <v>202</v>
      </c>
      <c r="D359" s="137">
        <v>16</v>
      </c>
      <c r="E359" s="137">
        <v>1958</v>
      </c>
      <c r="F359" s="218">
        <v>19.165001</v>
      </c>
      <c r="G359" s="218">
        <v>0.408</v>
      </c>
      <c r="H359" s="218">
        <v>1.45</v>
      </c>
      <c r="I359" s="218">
        <v>17.307001</v>
      </c>
      <c r="J359" s="275">
        <v>693.99</v>
      </c>
      <c r="K359" s="218">
        <v>6.53835</v>
      </c>
      <c r="L359" s="275">
        <v>262.18</v>
      </c>
      <c r="M359" s="150">
        <f t="shared" si="67"/>
        <v>0.02493840109848196</v>
      </c>
      <c r="N359" s="168">
        <v>242.9</v>
      </c>
      <c r="O359" s="152">
        <f t="shared" si="68"/>
        <v>6.057537626821269</v>
      </c>
      <c r="P359" s="171">
        <f t="shared" si="69"/>
        <v>1496.3040659089177</v>
      </c>
      <c r="Q359" s="153">
        <f t="shared" si="70"/>
        <v>363.4522576092761</v>
      </c>
      <c r="S359" s="88"/>
      <c r="T359" s="88"/>
    </row>
    <row r="360" spans="1:20" ht="12.75">
      <c r="A360" s="983"/>
      <c r="B360" s="41">
        <v>3</v>
      </c>
      <c r="C360" s="225" t="s">
        <v>200</v>
      </c>
      <c r="D360" s="137">
        <v>47</v>
      </c>
      <c r="E360" s="137">
        <v>1980</v>
      </c>
      <c r="F360" s="218">
        <v>39.369001</v>
      </c>
      <c r="G360" s="218">
        <v>0</v>
      </c>
      <c r="H360" s="218">
        <v>0</v>
      </c>
      <c r="I360" s="218">
        <v>39.369001</v>
      </c>
      <c r="J360" s="275">
        <v>1572.62</v>
      </c>
      <c r="K360" s="218">
        <v>39.369001</v>
      </c>
      <c r="L360" s="275">
        <v>1572.62</v>
      </c>
      <c r="M360" s="150">
        <f t="shared" si="67"/>
        <v>0.0250340202973382</v>
      </c>
      <c r="N360" s="168">
        <v>242.9</v>
      </c>
      <c r="O360" s="152">
        <f t="shared" si="68"/>
        <v>6.080763530223449</v>
      </c>
      <c r="P360" s="171">
        <f t="shared" si="69"/>
        <v>1502.041217840292</v>
      </c>
      <c r="Q360" s="153">
        <f t="shared" si="70"/>
        <v>364.84581181340695</v>
      </c>
      <c r="S360" s="88"/>
      <c r="T360" s="88"/>
    </row>
    <row r="361" spans="1:20" ht="12.75">
      <c r="A361" s="983"/>
      <c r="B361" s="41">
        <v>4</v>
      </c>
      <c r="C361" s="225" t="s">
        <v>198</v>
      </c>
      <c r="D361" s="137">
        <v>27</v>
      </c>
      <c r="E361" s="137">
        <v>1964</v>
      </c>
      <c r="F361" s="218">
        <v>34.406001</v>
      </c>
      <c r="G361" s="218">
        <v>0.9435</v>
      </c>
      <c r="H361" s="218">
        <v>3.84</v>
      </c>
      <c r="I361" s="218">
        <v>29.622501</v>
      </c>
      <c r="J361" s="275">
        <v>1114.14</v>
      </c>
      <c r="K361" s="218">
        <v>25.370053</v>
      </c>
      <c r="L361" s="275">
        <v>954.2</v>
      </c>
      <c r="M361" s="150">
        <f t="shared" si="67"/>
        <v>0.02658777300356319</v>
      </c>
      <c r="N361" s="168">
        <v>242.9</v>
      </c>
      <c r="O361" s="152">
        <f t="shared" si="68"/>
        <v>6.458170062565499</v>
      </c>
      <c r="P361" s="171">
        <f t="shared" si="69"/>
        <v>1595.2663802137913</v>
      </c>
      <c r="Q361" s="153">
        <f t="shared" si="70"/>
        <v>387.49020375392996</v>
      </c>
      <c r="S361" s="88"/>
      <c r="T361" s="88"/>
    </row>
    <row r="362" spans="1:20" ht="12.75">
      <c r="A362" s="983"/>
      <c r="B362" s="41">
        <v>5</v>
      </c>
      <c r="C362" s="225" t="s">
        <v>203</v>
      </c>
      <c r="D362" s="137">
        <v>48</v>
      </c>
      <c r="E362" s="137">
        <v>1981</v>
      </c>
      <c r="F362" s="218">
        <v>48.707001</v>
      </c>
      <c r="G362" s="218">
        <v>1.786275</v>
      </c>
      <c r="H362" s="218">
        <v>0.42</v>
      </c>
      <c r="I362" s="218">
        <v>46.500726</v>
      </c>
      <c r="J362" s="275">
        <v>1526.37</v>
      </c>
      <c r="K362" s="218">
        <v>45.452428</v>
      </c>
      <c r="L362" s="275">
        <v>1491.96</v>
      </c>
      <c r="M362" s="150">
        <f t="shared" si="67"/>
        <v>0.03046491058741521</v>
      </c>
      <c r="N362" s="168">
        <v>242.9</v>
      </c>
      <c r="O362" s="152">
        <f t="shared" si="68"/>
        <v>7.399926781683155</v>
      </c>
      <c r="P362" s="171">
        <f t="shared" si="69"/>
        <v>1827.8946352449127</v>
      </c>
      <c r="Q362" s="153">
        <f t="shared" si="70"/>
        <v>443.9956069009893</v>
      </c>
      <c r="S362" s="88"/>
      <c r="T362" s="88"/>
    </row>
    <row r="363" spans="1:20" ht="12.75">
      <c r="A363" s="983"/>
      <c r="B363" s="41">
        <v>6</v>
      </c>
      <c r="C363" s="225" t="s">
        <v>608</v>
      </c>
      <c r="D363" s="137">
        <v>18</v>
      </c>
      <c r="E363" s="137">
        <v>1967</v>
      </c>
      <c r="F363" s="218">
        <v>19.941998</v>
      </c>
      <c r="G363" s="218">
        <v>0.816</v>
      </c>
      <c r="H363" s="218">
        <v>0</v>
      </c>
      <c r="I363" s="218">
        <v>19.125998</v>
      </c>
      <c r="J363" s="275">
        <v>597.08</v>
      </c>
      <c r="K363" s="218">
        <v>19.125998</v>
      </c>
      <c r="L363" s="275">
        <v>597.08</v>
      </c>
      <c r="M363" s="150">
        <f t="shared" si="67"/>
        <v>0.032032555101493936</v>
      </c>
      <c r="N363" s="168">
        <v>242.9</v>
      </c>
      <c r="O363" s="152">
        <f t="shared" si="68"/>
        <v>7.780707634152877</v>
      </c>
      <c r="P363" s="171">
        <f t="shared" si="69"/>
        <v>1921.953306089636</v>
      </c>
      <c r="Q363" s="153">
        <f t="shared" si="70"/>
        <v>466.8424580491726</v>
      </c>
      <c r="S363" s="88"/>
      <c r="T363" s="88"/>
    </row>
    <row r="364" spans="1:20" ht="12.75">
      <c r="A364" s="983"/>
      <c r="B364" s="41">
        <v>7</v>
      </c>
      <c r="C364" s="707"/>
      <c r="D364" s="89"/>
      <c r="E364" s="89"/>
      <c r="F364" s="385"/>
      <c r="G364" s="385"/>
      <c r="H364" s="385"/>
      <c r="I364" s="385"/>
      <c r="J364" s="462"/>
      <c r="K364" s="385"/>
      <c r="L364" s="462"/>
      <c r="M364" s="463"/>
      <c r="N364" s="89"/>
      <c r="O364" s="460"/>
      <c r="P364" s="460"/>
      <c r="Q364" s="461"/>
      <c r="S364" s="88"/>
      <c r="T364" s="88"/>
    </row>
    <row r="365" spans="1:20" ht="12.75">
      <c r="A365" s="983"/>
      <c r="B365" s="89">
        <v>8</v>
      </c>
      <c r="C365" s="48"/>
      <c r="D365" s="41"/>
      <c r="E365" s="41"/>
      <c r="F365" s="201"/>
      <c r="G365" s="201"/>
      <c r="H365" s="201"/>
      <c r="I365" s="201"/>
      <c r="J365" s="376"/>
      <c r="K365" s="201"/>
      <c r="L365" s="376"/>
      <c r="M365" s="286"/>
      <c r="N365" s="41"/>
      <c r="O365" s="178"/>
      <c r="P365" s="178"/>
      <c r="Q365" s="265"/>
      <c r="S365" s="88"/>
      <c r="T365" s="88"/>
    </row>
    <row r="366" spans="1:20" ht="13.5" thickBot="1">
      <c r="A366" s="984"/>
      <c r="B366" s="45">
        <v>9</v>
      </c>
      <c r="C366" s="51"/>
      <c r="D366" s="45"/>
      <c r="E366" s="45"/>
      <c r="F366" s="380"/>
      <c r="G366" s="380"/>
      <c r="H366" s="380"/>
      <c r="I366" s="380"/>
      <c r="J366" s="384"/>
      <c r="K366" s="380"/>
      <c r="L366" s="384"/>
      <c r="M366" s="306"/>
      <c r="N366" s="45"/>
      <c r="O366" s="307"/>
      <c r="P366" s="381"/>
      <c r="Q366" s="269"/>
      <c r="S366" s="88"/>
      <c r="T366" s="88"/>
    </row>
    <row r="367" spans="19:20" ht="12.75">
      <c r="S367" s="88"/>
      <c r="T367" s="88"/>
    </row>
    <row r="368" spans="19:20" ht="12.75">
      <c r="S368" s="88"/>
      <c r="T368" s="88"/>
    </row>
    <row r="369" spans="19:20" ht="12.75">
      <c r="S369" s="88"/>
      <c r="T369" s="88"/>
    </row>
    <row r="370" spans="19:20" ht="12.75">
      <c r="S370" s="88"/>
      <c r="T370" s="88"/>
    </row>
    <row r="371" spans="19:20" ht="12.75">
      <c r="S371" s="88"/>
      <c r="T371" s="88"/>
    </row>
    <row r="372" spans="19:20" ht="12.75">
      <c r="S372" s="88"/>
      <c r="T372" s="88"/>
    </row>
    <row r="373" spans="1:20" ht="15">
      <c r="A373" s="967" t="s">
        <v>61</v>
      </c>
      <c r="B373" s="967"/>
      <c r="C373" s="967"/>
      <c r="D373" s="967"/>
      <c r="E373" s="967"/>
      <c r="F373" s="967"/>
      <c r="G373" s="967"/>
      <c r="H373" s="967"/>
      <c r="I373" s="967"/>
      <c r="J373" s="967"/>
      <c r="K373" s="967"/>
      <c r="L373" s="967"/>
      <c r="M373" s="967"/>
      <c r="N373" s="967"/>
      <c r="O373" s="967"/>
      <c r="P373" s="967"/>
      <c r="Q373" s="967"/>
      <c r="S373" s="88"/>
      <c r="T373" s="88"/>
    </row>
    <row r="374" spans="1:20" ht="13.5" thickBot="1">
      <c r="A374" s="968" t="s">
        <v>584</v>
      </c>
      <c r="B374" s="968"/>
      <c r="C374" s="968"/>
      <c r="D374" s="968"/>
      <c r="E374" s="968"/>
      <c r="F374" s="968"/>
      <c r="G374" s="968"/>
      <c r="H374" s="968"/>
      <c r="I374" s="968"/>
      <c r="J374" s="968"/>
      <c r="K374" s="968"/>
      <c r="L374" s="968"/>
      <c r="M374" s="968"/>
      <c r="N374" s="968"/>
      <c r="O374" s="968"/>
      <c r="P374" s="968"/>
      <c r="Q374" s="968"/>
      <c r="S374" s="88"/>
      <c r="T374" s="88"/>
    </row>
    <row r="375" spans="1:20" ht="12.75" customHeight="1">
      <c r="A375" s="985" t="s">
        <v>1</v>
      </c>
      <c r="B375" s="988" t="s">
        <v>0</v>
      </c>
      <c r="C375" s="945" t="s">
        <v>2</v>
      </c>
      <c r="D375" s="945" t="s">
        <v>3</v>
      </c>
      <c r="E375" s="945" t="s">
        <v>13</v>
      </c>
      <c r="F375" s="992" t="s">
        <v>14</v>
      </c>
      <c r="G375" s="992"/>
      <c r="H375" s="992"/>
      <c r="I375" s="992"/>
      <c r="J375" s="945" t="s">
        <v>4</v>
      </c>
      <c r="K375" s="945" t="s">
        <v>15</v>
      </c>
      <c r="L375" s="945" t="s">
        <v>5</v>
      </c>
      <c r="M375" s="945" t="s">
        <v>6</v>
      </c>
      <c r="N375" s="945" t="s">
        <v>16</v>
      </c>
      <c r="O375" s="945" t="s">
        <v>17</v>
      </c>
      <c r="P375" s="945" t="s">
        <v>25</v>
      </c>
      <c r="Q375" s="930" t="s">
        <v>26</v>
      </c>
      <c r="S375" s="88"/>
      <c r="T375" s="88"/>
    </row>
    <row r="376" spans="1:20" s="2" customFormat="1" ht="33.75">
      <c r="A376" s="986"/>
      <c r="B376" s="989"/>
      <c r="C376" s="981"/>
      <c r="D376" s="981"/>
      <c r="E376" s="981"/>
      <c r="F376" s="37" t="s">
        <v>18</v>
      </c>
      <c r="G376" s="37" t="s">
        <v>19</v>
      </c>
      <c r="H376" s="37" t="s">
        <v>20</v>
      </c>
      <c r="I376" s="37" t="s">
        <v>21</v>
      </c>
      <c r="J376" s="981"/>
      <c r="K376" s="981"/>
      <c r="L376" s="981"/>
      <c r="M376" s="981"/>
      <c r="N376" s="981"/>
      <c r="O376" s="981"/>
      <c r="P376" s="981"/>
      <c r="Q376" s="977"/>
      <c r="S376" s="88"/>
      <c r="T376" s="88"/>
    </row>
    <row r="377" spans="1:20" s="3" customFormat="1" ht="13.5" customHeight="1" thickBot="1">
      <c r="A377" s="987"/>
      <c r="B377" s="990"/>
      <c r="C377" s="991"/>
      <c r="D377" s="58" t="s">
        <v>7</v>
      </c>
      <c r="E377" s="58" t="s">
        <v>8</v>
      </c>
      <c r="F377" s="58" t="s">
        <v>9</v>
      </c>
      <c r="G377" s="58" t="s">
        <v>9</v>
      </c>
      <c r="H377" s="58" t="s">
        <v>9</v>
      </c>
      <c r="I377" s="58" t="s">
        <v>9</v>
      </c>
      <c r="J377" s="58" t="s">
        <v>22</v>
      </c>
      <c r="K377" s="58" t="s">
        <v>9</v>
      </c>
      <c r="L377" s="58" t="s">
        <v>22</v>
      </c>
      <c r="M377" s="58" t="s">
        <v>23</v>
      </c>
      <c r="N377" s="58" t="s">
        <v>10</v>
      </c>
      <c r="O377" s="58" t="s">
        <v>24</v>
      </c>
      <c r="P377" s="58" t="s">
        <v>27</v>
      </c>
      <c r="Q377" s="60" t="s">
        <v>28</v>
      </c>
      <c r="S377" s="88"/>
      <c r="T377" s="88"/>
    </row>
    <row r="378" spans="1:20" ht="12.75">
      <c r="A378" s="931" t="s">
        <v>11</v>
      </c>
      <c r="B378" s="61">
        <v>1</v>
      </c>
      <c r="C378" s="503" t="s">
        <v>609</v>
      </c>
      <c r="D378" s="131">
        <v>39</v>
      </c>
      <c r="E378" s="131">
        <v>1985</v>
      </c>
      <c r="F378" s="247">
        <f aca="true" t="shared" si="71" ref="F378:F417">G378+H378+I378</f>
        <v>24.6</v>
      </c>
      <c r="G378" s="247">
        <v>4.35</v>
      </c>
      <c r="H378" s="247">
        <v>6.32</v>
      </c>
      <c r="I378" s="247">
        <v>13.93</v>
      </c>
      <c r="J378" s="558">
        <v>2285.27</v>
      </c>
      <c r="K378" s="247">
        <v>13.93</v>
      </c>
      <c r="L378" s="558">
        <v>2285.27</v>
      </c>
      <c r="M378" s="315">
        <f aca="true" t="shared" si="72" ref="M378:M417">K378/L378</f>
        <v>0.006095559824440875</v>
      </c>
      <c r="N378" s="314">
        <v>309.3</v>
      </c>
      <c r="O378" s="316">
        <f aca="true" t="shared" si="73" ref="O378:O417">M378*N378</f>
        <v>1.8853566536995627</v>
      </c>
      <c r="P378" s="316">
        <f aca="true" t="shared" si="74" ref="P378:P417">M378*60*1000</f>
        <v>365.7335894664525</v>
      </c>
      <c r="Q378" s="203">
        <f aca="true" t="shared" si="75" ref="Q378:Q417">P378*N378/1000</f>
        <v>113.12139922197376</v>
      </c>
      <c r="R378" s="6"/>
      <c r="S378" s="88"/>
      <c r="T378" s="88"/>
    </row>
    <row r="379" spans="1:20" ht="12.75">
      <c r="A379" s="932"/>
      <c r="B379" s="30">
        <v>2</v>
      </c>
      <c r="C379" s="504" t="s">
        <v>610</v>
      </c>
      <c r="D379" s="132">
        <v>45</v>
      </c>
      <c r="E379" s="132">
        <v>1975</v>
      </c>
      <c r="F379" s="253">
        <f t="shared" si="71"/>
        <v>26.04</v>
      </c>
      <c r="G379" s="248">
        <v>4.1</v>
      </c>
      <c r="H379" s="248">
        <v>7.2</v>
      </c>
      <c r="I379" s="248">
        <v>14.74</v>
      </c>
      <c r="J379" s="271">
        <v>2325.22</v>
      </c>
      <c r="K379" s="248">
        <v>14.74</v>
      </c>
      <c r="L379" s="271">
        <v>2325.22</v>
      </c>
      <c r="M379" s="141">
        <f t="shared" si="72"/>
        <v>0.006339185109365996</v>
      </c>
      <c r="N379" s="142">
        <v>309.3</v>
      </c>
      <c r="O379" s="143">
        <f t="shared" si="73"/>
        <v>1.9607099543269026</v>
      </c>
      <c r="P379" s="164">
        <f t="shared" si="74"/>
        <v>380.35110656195974</v>
      </c>
      <c r="Q379" s="144">
        <f t="shared" si="75"/>
        <v>117.64259725961415</v>
      </c>
      <c r="S379" s="88"/>
      <c r="T379" s="88"/>
    </row>
    <row r="380" spans="1:20" ht="12.75">
      <c r="A380" s="932"/>
      <c r="B380" s="30">
        <v>3</v>
      </c>
      <c r="C380" s="504" t="s">
        <v>611</v>
      </c>
      <c r="D380" s="132">
        <v>44</v>
      </c>
      <c r="E380" s="132">
        <v>1975</v>
      </c>
      <c r="F380" s="253">
        <f t="shared" si="71"/>
        <v>25.9</v>
      </c>
      <c r="G380" s="248">
        <v>3.51</v>
      </c>
      <c r="H380" s="248">
        <v>7.04</v>
      </c>
      <c r="I380" s="248">
        <v>15.35</v>
      </c>
      <c r="J380" s="271">
        <v>2309.11</v>
      </c>
      <c r="K380" s="248">
        <v>15.35</v>
      </c>
      <c r="L380" s="271">
        <v>2309.11</v>
      </c>
      <c r="M380" s="141">
        <f t="shared" si="72"/>
        <v>0.006647582834945065</v>
      </c>
      <c r="N380" s="142">
        <v>309.3</v>
      </c>
      <c r="O380" s="143">
        <f t="shared" si="73"/>
        <v>2.0560973708485086</v>
      </c>
      <c r="P380" s="164">
        <f t="shared" si="74"/>
        <v>398.8549700967039</v>
      </c>
      <c r="Q380" s="144">
        <f t="shared" si="75"/>
        <v>123.36584225091052</v>
      </c>
      <c r="S380" s="88"/>
      <c r="T380" s="88"/>
    </row>
    <row r="381" spans="1:20" ht="12.75">
      <c r="A381" s="932"/>
      <c r="B381" s="30">
        <v>4</v>
      </c>
      <c r="C381" s="504" t="s">
        <v>612</v>
      </c>
      <c r="D381" s="132">
        <v>45</v>
      </c>
      <c r="E381" s="132">
        <v>1991</v>
      </c>
      <c r="F381" s="253">
        <f t="shared" si="71"/>
        <v>26.589999999999996</v>
      </c>
      <c r="G381" s="248">
        <v>3.61</v>
      </c>
      <c r="H381" s="248">
        <v>6.24</v>
      </c>
      <c r="I381" s="248">
        <v>16.74</v>
      </c>
      <c r="J381" s="271">
        <v>2321.73</v>
      </c>
      <c r="K381" s="248">
        <v>16.74</v>
      </c>
      <c r="L381" s="271">
        <v>2321.73</v>
      </c>
      <c r="M381" s="141">
        <f t="shared" si="72"/>
        <v>0.007210140714036515</v>
      </c>
      <c r="N381" s="142">
        <v>309.3</v>
      </c>
      <c r="O381" s="143">
        <f t="shared" si="73"/>
        <v>2.230096522851494</v>
      </c>
      <c r="P381" s="164">
        <f t="shared" si="74"/>
        <v>432.6084428421909</v>
      </c>
      <c r="Q381" s="144">
        <f t="shared" si="75"/>
        <v>133.80579137108967</v>
      </c>
      <c r="S381" s="88"/>
      <c r="T381" s="88"/>
    </row>
    <row r="382" spans="1:20" ht="12.75">
      <c r="A382" s="932"/>
      <c r="B382" s="30">
        <v>5</v>
      </c>
      <c r="C382" s="504" t="s">
        <v>613</v>
      </c>
      <c r="D382" s="132">
        <v>55</v>
      </c>
      <c r="E382" s="132">
        <v>1992</v>
      </c>
      <c r="F382" s="253">
        <f t="shared" si="71"/>
        <v>61.9</v>
      </c>
      <c r="G382" s="248">
        <v>0</v>
      </c>
      <c r="H382" s="248">
        <v>0</v>
      </c>
      <c r="I382" s="248">
        <v>61.9</v>
      </c>
      <c r="J382" s="271">
        <v>3755.18</v>
      </c>
      <c r="K382" s="248">
        <v>61.9</v>
      </c>
      <c r="L382" s="271">
        <v>3755.18</v>
      </c>
      <c r="M382" s="141">
        <f t="shared" si="72"/>
        <v>0.0164838969104011</v>
      </c>
      <c r="N382" s="142">
        <v>309.3</v>
      </c>
      <c r="O382" s="143">
        <f t="shared" si="73"/>
        <v>5.09846931438706</v>
      </c>
      <c r="P382" s="164">
        <f t="shared" si="74"/>
        <v>989.033814624066</v>
      </c>
      <c r="Q382" s="144">
        <f t="shared" si="75"/>
        <v>305.9081588632236</v>
      </c>
      <c r="S382" s="88"/>
      <c r="T382" s="88"/>
    </row>
    <row r="383" spans="1:20" ht="12.75">
      <c r="A383" s="932"/>
      <c r="B383" s="30">
        <v>6</v>
      </c>
      <c r="C383" s="504" t="s">
        <v>614</v>
      </c>
      <c r="D383" s="132">
        <v>30</v>
      </c>
      <c r="E383" s="132">
        <v>1988</v>
      </c>
      <c r="F383" s="253">
        <f t="shared" si="71"/>
        <v>35.7</v>
      </c>
      <c r="G383" s="248">
        <v>3.71</v>
      </c>
      <c r="H383" s="248">
        <v>4.8</v>
      </c>
      <c r="I383" s="248">
        <v>27.19</v>
      </c>
      <c r="J383" s="271">
        <v>1645.25</v>
      </c>
      <c r="K383" s="248">
        <v>27.19</v>
      </c>
      <c r="L383" s="271">
        <v>1645.25</v>
      </c>
      <c r="M383" s="141">
        <f t="shared" si="72"/>
        <v>0.016526363774502357</v>
      </c>
      <c r="N383" s="142">
        <v>309.3</v>
      </c>
      <c r="O383" s="143">
        <f t="shared" si="73"/>
        <v>5.1116043154535795</v>
      </c>
      <c r="P383" s="164">
        <f t="shared" si="74"/>
        <v>991.5818264701413</v>
      </c>
      <c r="Q383" s="144">
        <f t="shared" si="75"/>
        <v>306.6962589272147</v>
      </c>
      <c r="S383" s="88"/>
      <c r="T383" s="88"/>
    </row>
    <row r="384" spans="1:20" ht="12.75">
      <c r="A384" s="932"/>
      <c r="B384" s="30">
        <v>7</v>
      </c>
      <c r="C384" s="504" t="s">
        <v>615</v>
      </c>
      <c r="D384" s="132">
        <v>64</v>
      </c>
      <c r="E384" s="132">
        <v>1971</v>
      </c>
      <c r="F384" s="253">
        <f t="shared" si="71"/>
        <v>66.53</v>
      </c>
      <c r="G384" s="248">
        <v>4.38</v>
      </c>
      <c r="H384" s="248">
        <v>10.24</v>
      </c>
      <c r="I384" s="248">
        <v>51.91</v>
      </c>
      <c r="J384" s="271">
        <v>3220.36</v>
      </c>
      <c r="K384" s="248">
        <v>51.91</v>
      </c>
      <c r="L384" s="271">
        <v>3121</v>
      </c>
      <c r="M384" s="141">
        <f t="shared" si="72"/>
        <v>0.016632489586670938</v>
      </c>
      <c r="N384" s="142">
        <v>309.3</v>
      </c>
      <c r="O384" s="143">
        <f t="shared" si="73"/>
        <v>5.144429029157322</v>
      </c>
      <c r="P384" s="164">
        <f t="shared" si="74"/>
        <v>997.9493752002563</v>
      </c>
      <c r="Q384" s="144">
        <f t="shared" si="75"/>
        <v>308.6657417494393</v>
      </c>
      <c r="S384" s="88"/>
      <c r="T384" s="88"/>
    </row>
    <row r="385" spans="1:20" ht="12.75">
      <c r="A385" s="932"/>
      <c r="B385" s="30">
        <v>8</v>
      </c>
      <c r="C385" s="504" t="s">
        <v>616</v>
      </c>
      <c r="D385" s="132">
        <v>45</v>
      </c>
      <c r="E385" s="132">
        <v>1981</v>
      </c>
      <c r="F385" s="253">
        <f t="shared" si="71"/>
        <v>49.800000000000004</v>
      </c>
      <c r="G385" s="248">
        <v>4.59</v>
      </c>
      <c r="H385" s="248">
        <v>7.12</v>
      </c>
      <c r="I385" s="248">
        <v>38.09</v>
      </c>
      <c r="J385" s="271">
        <v>2250.62</v>
      </c>
      <c r="K385" s="248">
        <v>38.09</v>
      </c>
      <c r="L385" s="271">
        <v>2250.62</v>
      </c>
      <c r="M385" s="141">
        <f t="shared" si="72"/>
        <v>0.01692422532457723</v>
      </c>
      <c r="N385" s="142">
        <v>309.3</v>
      </c>
      <c r="O385" s="143">
        <f t="shared" si="73"/>
        <v>5.234662892891738</v>
      </c>
      <c r="P385" s="164">
        <f t="shared" si="74"/>
        <v>1015.4535194746339</v>
      </c>
      <c r="Q385" s="144">
        <f t="shared" si="75"/>
        <v>314.07977357350427</v>
      </c>
      <c r="S385" s="88"/>
      <c r="T385" s="88"/>
    </row>
    <row r="386" spans="1:20" ht="12.75">
      <c r="A386" s="932"/>
      <c r="B386" s="30">
        <v>9</v>
      </c>
      <c r="C386" s="504" t="s">
        <v>617</v>
      </c>
      <c r="D386" s="132">
        <v>66</v>
      </c>
      <c r="E386" s="132">
        <v>1972</v>
      </c>
      <c r="F386" s="253">
        <f t="shared" si="71"/>
        <v>72.99</v>
      </c>
      <c r="G386" s="248">
        <v>7.87</v>
      </c>
      <c r="H386" s="248">
        <v>10.4</v>
      </c>
      <c r="I386" s="248">
        <v>54.72</v>
      </c>
      <c r="J386" s="271">
        <v>3215.54</v>
      </c>
      <c r="K386" s="248">
        <v>54.75</v>
      </c>
      <c r="L386" s="271">
        <v>3215.54</v>
      </c>
      <c r="M386" s="141">
        <f t="shared" si="72"/>
        <v>0.0170266891408597</v>
      </c>
      <c r="N386" s="142">
        <v>309.3</v>
      </c>
      <c r="O386" s="143">
        <f t="shared" si="73"/>
        <v>5.266354951267905</v>
      </c>
      <c r="P386" s="164">
        <f t="shared" si="74"/>
        <v>1021.601348451582</v>
      </c>
      <c r="Q386" s="144">
        <f t="shared" si="75"/>
        <v>315.9812970760743</v>
      </c>
      <c r="S386" s="88"/>
      <c r="T386" s="88"/>
    </row>
    <row r="387" spans="1:20" ht="13.5" thickBot="1">
      <c r="A387" s="933"/>
      <c r="B387" s="63">
        <v>10</v>
      </c>
      <c r="C387" s="505" t="s">
        <v>618</v>
      </c>
      <c r="D387" s="133">
        <v>75</v>
      </c>
      <c r="E387" s="133">
        <v>1981</v>
      </c>
      <c r="F387" s="556">
        <f t="shared" si="71"/>
        <v>87.02</v>
      </c>
      <c r="G387" s="249">
        <v>7.68</v>
      </c>
      <c r="H387" s="249">
        <v>11.84</v>
      </c>
      <c r="I387" s="249">
        <v>67.5</v>
      </c>
      <c r="J387" s="272">
        <v>4034.29</v>
      </c>
      <c r="K387" s="249">
        <v>67.5</v>
      </c>
      <c r="L387" s="272">
        <v>3952.66</v>
      </c>
      <c r="M387" s="174">
        <f t="shared" si="72"/>
        <v>0.017077107568068087</v>
      </c>
      <c r="N387" s="162">
        <v>309.3</v>
      </c>
      <c r="O387" s="175">
        <f t="shared" si="73"/>
        <v>5.281949370803459</v>
      </c>
      <c r="P387" s="273">
        <f t="shared" si="74"/>
        <v>1024.6264540840853</v>
      </c>
      <c r="Q387" s="165">
        <f t="shared" si="75"/>
        <v>316.9169622482076</v>
      </c>
      <c r="S387" s="88"/>
      <c r="T387" s="88"/>
    </row>
    <row r="388" spans="1:20" ht="11.25" customHeight="1">
      <c r="A388" s="934" t="s">
        <v>29</v>
      </c>
      <c r="B388" s="743">
        <v>1</v>
      </c>
      <c r="C388" s="866" t="s">
        <v>619</v>
      </c>
      <c r="D388" s="867">
        <v>45</v>
      </c>
      <c r="E388" s="867">
        <v>1981</v>
      </c>
      <c r="F388" s="712">
        <f t="shared" si="71"/>
        <v>51.78</v>
      </c>
      <c r="G388" s="712">
        <v>4.43</v>
      </c>
      <c r="H388" s="712">
        <v>7.2</v>
      </c>
      <c r="I388" s="712">
        <v>40.15</v>
      </c>
      <c r="J388" s="713">
        <v>2323.16</v>
      </c>
      <c r="K388" s="712">
        <v>40.15</v>
      </c>
      <c r="L388" s="713">
        <v>2323.16</v>
      </c>
      <c r="M388" s="868">
        <f t="shared" si="72"/>
        <v>0.01728249453330808</v>
      </c>
      <c r="N388" s="869">
        <v>309.3</v>
      </c>
      <c r="O388" s="870">
        <f t="shared" si="73"/>
        <v>5.34547555915219</v>
      </c>
      <c r="P388" s="870">
        <f t="shared" si="74"/>
        <v>1036.9496719984847</v>
      </c>
      <c r="Q388" s="871">
        <f t="shared" si="75"/>
        <v>320.7285335491314</v>
      </c>
      <c r="S388" s="88"/>
      <c r="T388" s="88"/>
    </row>
    <row r="389" spans="1:20" ht="12.75" customHeight="1">
      <c r="A389" s="935"/>
      <c r="B389" s="725">
        <v>2</v>
      </c>
      <c r="C389" s="872" t="s">
        <v>620</v>
      </c>
      <c r="D389" s="873">
        <v>46</v>
      </c>
      <c r="E389" s="873">
        <v>1986</v>
      </c>
      <c r="F389" s="744">
        <f t="shared" si="71"/>
        <v>51</v>
      </c>
      <c r="G389" s="711">
        <v>3.54</v>
      </c>
      <c r="H389" s="711">
        <v>7.2</v>
      </c>
      <c r="I389" s="711">
        <v>40.26</v>
      </c>
      <c r="J389" s="719">
        <v>2329.06</v>
      </c>
      <c r="K389" s="711">
        <v>40.26</v>
      </c>
      <c r="L389" s="719">
        <v>2329.06</v>
      </c>
      <c r="M389" s="714">
        <f t="shared" si="72"/>
        <v>0.017285943685435325</v>
      </c>
      <c r="N389" s="720">
        <v>309.3</v>
      </c>
      <c r="O389" s="716">
        <f t="shared" si="73"/>
        <v>5.346542381905146</v>
      </c>
      <c r="P389" s="716">
        <f t="shared" si="74"/>
        <v>1037.1566211261195</v>
      </c>
      <c r="Q389" s="717">
        <f t="shared" si="75"/>
        <v>320.7925429143088</v>
      </c>
      <c r="S389" s="88"/>
      <c r="T389" s="88"/>
    </row>
    <row r="390" spans="1:20" ht="12.75" customHeight="1">
      <c r="A390" s="935"/>
      <c r="B390" s="725">
        <v>3</v>
      </c>
      <c r="C390" s="874" t="s">
        <v>621</v>
      </c>
      <c r="D390" s="710">
        <v>30</v>
      </c>
      <c r="E390" s="710">
        <v>1990</v>
      </c>
      <c r="F390" s="744">
        <f t="shared" si="71"/>
        <v>36.120000000000005</v>
      </c>
      <c r="G390" s="711">
        <v>3.11</v>
      </c>
      <c r="H390" s="711">
        <v>4.8</v>
      </c>
      <c r="I390" s="711">
        <v>28.21</v>
      </c>
      <c r="J390" s="719">
        <v>1620.63</v>
      </c>
      <c r="K390" s="711">
        <v>28.21</v>
      </c>
      <c r="L390" s="719">
        <v>1620.63</v>
      </c>
      <c r="M390" s="721">
        <f t="shared" si="72"/>
        <v>0.01740681093155131</v>
      </c>
      <c r="N390" s="720">
        <v>309.3</v>
      </c>
      <c r="O390" s="716">
        <f t="shared" si="73"/>
        <v>5.38392662112882</v>
      </c>
      <c r="P390" s="716">
        <f t="shared" si="74"/>
        <v>1044.4086558930785</v>
      </c>
      <c r="Q390" s="722">
        <f t="shared" si="75"/>
        <v>323.03559726772914</v>
      </c>
      <c r="S390" s="88"/>
      <c r="T390" s="88"/>
    </row>
    <row r="391" spans="1:20" ht="12.75" customHeight="1">
      <c r="A391" s="935"/>
      <c r="B391" s="725">
        <v>4</v>
      </c>
      <c r="C391" s="874" t="s">
        <v>622</v>
      </c>
      <c r="D391" s="710">
        <v>30</v>
      </c>
      <c r="E391" s="710">
        <v>1992</v>
      </c>
      <c r="F391" s="744">
        <f t="shared" si="71"/>
        <v>33.45</v>
      </c>
      <c r="G391" s="711">
        <v>3.26</v>
      </c>
      <c r="H391" s="711">
        <v>4.64</v>
      </c>
      <c r="I391" s="711">
        <v>25.55</v>
      </c>
      <c r="J391" s="719">
        <v>1460.07</v>
      </c>
      <c r="K391" s="711">
        <v>25.55</v>
      </c>
      <c r="L391" s="719">
        <v>1460.07</v>
      </c>
      <c r="M391" s="721">
        <f t="shared" si="72"/>
        <v>0.01749916099913018</v>
      </c>
      <c r="N391" s="720">
        <v>309.3</v>
      </c>
      <c r="O391" s="723">
        <f t="shared" si="73"/>
        <v>5.412490497030965</v>
      </c>
      <c r="P391" s="716">
        <f t="shared" si="74"/>
        <v>1049.949659947811</v>
      </c>
      <c r="Q391" s="722">
        <f t="shared" si="75"/>
        <v>324.749429821858</v>
      </c>
      <c r="S391" s="88"/>
      <c r="T391" s="88"/>
    </row>
    <row r="392" spans="1:20" ht="12.75" customHeight="1">
      <c r="A392" s="935"/>
      <c r="B392" s="725">
        <v>5</v>
      </c>
      <c r="C392" s="874" t="s">
        <v>623</v>
      </c>
      <c r="D392" s="710">
        <v>45</v>
      </c>
      <c r="E392" s="710">
        <v>1984</v>
      </c>
      <c r="F392" s="744">
        <f t="shared" si="71"/>
        <v>51.89</v>
      </c>
      <c r="G392" s="711">
        <v>3.62</v>
      </c>
      <c r="H392" s="711">
        <v>7.2</v>
      </c>
      <c r="I392" s="711">
        <v>41.07</v>
      </c>
      <c r="J392" s="719">
        <v>2330.45</v>
      </c>
      <c r="K392" s="711">
        <v>41.07</v>
      </c>
      <c r="L392" s="719">
        <v>2330.45</v>
      </c>
      <c r="M392" s="721">
        <f t="shared" si="72"/>
        <v>0.017623205818618724</v>
      </c>
      <c r="N392" s="720">
        <v>309.3</v>
      </c>
      <c r="O392" s="723">
        <f t="shared" si="73"/>
        <v>5.450857559698772</v>
      </c>
      <c r="P392" s="716">
        <f t="shared" si="74"/>
        <v>1057.3923491171236</v>
      </c>
      <c r="Q392" s="722">
        <f t="shared" si="75"/>
        <v>327.05145358192635</v>
      </c>
      <c r="S392" s="88"/>
      <c r="T392" s="88"/>
    </row>
    <row r="393" spans="1:20" ht="12.75" customHeight="1">
      <c r="A393" s="935"/>
      <c r="B393" s="725">
        <v>6</v>
      </c>
      <c r="C393" s="874" t="s">
        <v>624</v>
      </c>
      <c r="D393" s="710">
        <v>41</v>
      </c>
      <c r="E393" s="710">
        <v>1988</v>
      </c>
      <c r="F393" s="744">
        <f t="shared" si="71"/>
        <v>50.510000000000005</v>
      </c>
      <c r="G393" s="711">
        <v>4.25</v>
      </c>
      <c r="H393" s="711">
        <v>5.99</v>
      </c>
      <c r="I393" s="711">
        <v>40.27</v>
      </c>
      <c r="J393" s="719">
        <v>2275.45</v>
      </c>
      <c r="K393" s="711">
        <v>40.27</v>
      </c>
      <c r="L393" s="719">
        <v>2275.45</v>
      </c>
      <c r="M393" s="721">
        <f t="shared" si="72"/>
        <v>0.017697598277263842</v>
      </c>
      <c r="N393" s="720">
        <v>309.3</v>
      </c>
      <c r="O393" s="723">
        <f t="shared" si="73"/>
        <v>5.473867147157707</v>
      </c>
      <c r="P393" s="716">
        <f t="shared" si="74"/>
        <v>1061.8558966358305</v>
      </c>
      <c r="Q393" s="722">
        <f t="shared" si="75"/>
        <v>328.43202882946235</v>
      </c>
      <c r="S393" s="88"/>
      <c r="T393" s="88"/>
    </row>
    <row r="394" spans="1:20" ht="12.75" customHeight="1">
      <c r="A394" s="935"/>
      <c r="B394" s="725">
        <v>7</v>
      </c>
      <c r="C394" s="874" t="s">
        <v>625</v>
      </c>
      <c r="D394" s="710">
        <v>96</v>
      </c>
      <c r="E394" s="710">
        <v>1983</v>
      </c>
      <c r="F394" s="744">
        <f t="shared" si="71"/>
        <v>88.24</v>
      </c>
      <c r="G394" s="711">
        <v>7.1</v>
      </c>
      <c r="H394" s="711">
        <v>15.2</v>
      </c>
      <c r="I394" s="711">
        <v>65.94</v>
      </c>
      <c r="J394" s="719">
        <v>3696.4</v>
      </c>
      <c r="K394" s="711">
        <v>65.94</v>
      </c>
      <c r="L394" s="719">
        <v>3696.4</v>
      </c>
      <c r="M394" s="721">
        <f t="shared" si="72"/>
        <v>0.017838978465534033</v>
      </c>
      <c r="N394" s="720">
        <v>309.3</v>
      </c>
      <c r="O394" s="723">
        <f t="shared" si="73"/>
        <v>5.517596039389677</v>
      </c>
      <c r="P394" s="716">
        <f t="shared" si="74"/>
        <v>1070.3387079320419</v>
      </c>
      <c r="Q394" s="722">
        <f t="shared" si="75"/>
        <v>331.05576236338055</v>
      </c>
      <c r="S394" s="88"/>
      <c r="T394" s="88"/>
    </row>
    <row r="395" spans="1:20" ht="12.75" customHeight="1">
      <c r="A395" s="935"/>
      <c r="B395" s="725">
        <v>8</v>
      </c>
      <c r="C395" s="874" t="s">
        <v>626</v>
      </c>
      <c r="D395" s="710">
        <v>44</v>
      </c>
      <c r="E395" s="710">
        <v>1988</v>
      </c>
      <c r="F395" s="744">
        <f t="shared" si="71"/>
        <v>51.85</v>
      </c>
      <c r="G395" s="711">
        <v>3.81</v>
      </c>
      <c r="H395" s="711">
        <v>7.04</v>
      </c>
      <c r="I395" s="711">
        <v>41</v>
      </c>
      <c r="J395" s="719">
        <v>2297.82</v>
      </c>
      <c r="K395" s="711">
        <v>41</v>
      </c>
      <c r="L395" s="719">
        <v>2297.82</v>
      </c>
      <c r="M395" s="721">
        <f t="shared" si="72"/>
        <v>0.01784299901645908</v>
      </c>
      <c r="N395" s="720">
        <v>309.3</v>
      </c>
      <c r="O395" s="723">
        <f t="shared" si="73"/>
        <v>5.518839595790793</v>
      </c>
      <c r="P395" s="716">
        <f t="shared" si="74"/>
        <v>1070.5799409875447</v>
      </c>
      <c r="Q395" s="722">
        <f t="shared" si="75"/>
        <v>331.1303757474476</v>
      </c>
      <c r="S395" s="88"/>
      <c r="T395" s="88"/>
    </row>
    <row r="396" spans="1:20" ht="13.5" customHeight="1">
      <c r="A396" s="935"/>
      <c r="B396" s="725">
        <v>9</v>
      </c>
      <c r="C396" s="874" t="s">
        <v>627</v>
      </c>
      <c r="D396" s="710">
        <v>50</v>
      </c>
      <c r="E396" s="710">
        <v>1992</v>
      </c>
      <c r="F396" s="744">
        <f t="shared" si="71"/>
        <v>53.6</v>
      </c>
      <c r="G396" s="711">
        <v>4.08</v>
      </c>
      <c r="H396" s="711">
        <v>7.84</v>
      </c>
      <c r="I396" s="711">
        <v>41.68</v>
      </c>
      <c r="J396" s="719">
        <v>2313.92</v>
      </c>
      <c r="K396" s="711">
        <v>41.68</v>
      </c>
      <c r="L396" s="719">
        <v>2313.92</v>
      </c>
      <c r="M396" s="721">
        <f t="shared" si="72"/>
        <v>0.018012722998202186</v>
      </c>
      <c r="N396" s="720">
        <v>309.3</v>
      </c>
      <c r="O396" s="723">
        <f t="shared" si="73"/>
        <v>5.571335223343937</v>
      </c>
      <c r="P396" s="716">
        <f t="shared" si="74"/>
        <v>1080.7633798921313</v>
      </c>
      <c r="Q396" s="722">
        <f t="shared" si="75"/>
        <v>334.28011340063625</v>
      </c>
      <c r="S396" s="88"/>
      <c r="T396" s="88"/>
    </row>
    <row r="397" spans="1:20" ht="13.5" customHeight="1" thickBot="1">
      <c r="A397" s="936"/>
      <c r="B397" s="736">
        <v>10</v>
      </c>
      <c r="C397" s="875" t="s">
        <v>628</v>
      </c>
      <c r="D397" s="746">
        <v>30</v>
      </c>
      <c r="E397" s="746">
        <v>1986</v>
      </c>
      <c r="F397" s="876">
        <f t="shared" si="71"/>
        <v>35.8</v>
      </c>
      <c r="G397" s="747">
        <v>2.58</v>
      </c>
      <c r="H397" s="747">
        <v>4.49</v>
      </c>
      <c r="I397" s="747">
        <v>28.73</v>
      </c>
      <c r="J397" s="748">
        <v>1589.97</v>
      </c>
      <c r="K397" s="747">
        <v>28.73</v>
      </c>
      <c r="L397" s="748">
        <v>1589.97</v>
      </c>
      <c r="M397" s="749">
        <f t="shared" si="72"/>
        <v>0.01806952332433945</v>
      </c>
      <c r="N397" s="757">
        <v>309.3</v>
      </c>
      <c r="O397" s="750">
        <f t="shared" si="73"/>
        <v>5.588903564218192</v>
      </c>
      <c r="P397" s="750">
        <f t="shared" si="74"/>
        <v>1084.171399460367</v>
      </c>
      <c r="Q397" s="751">
        <f t="shared" si="75"/>
        <v>335.3342138530915</v>
      </c>
      <c r="S397" s="88"/>
      <c r="T397" s="88"/>
    </row>
    <row r="398" spans="1:20" ht="12.75">
      <c r="A398" s="978" t="s">
        <v>30</v>
      </c>
      <c r="B398" s="82">
        <v>1</v>
      </c>
      <c r="C398" s="507" t="s">
        <v>629</v>
      </c>
      <c r="D398" s="217">
        <v>13</v>
      </c>
      <c r="E398" s="217">
        <v>1970</v>
      </c>
      <c r="F398" s="313">
        <f t="shared" si="71"/>
        <v>21.48</v>
      </c>
      <c r="G398" s="313">
        <v>0</v>
      </c>
      <c r="H398" s="313">
        <v>0</v>
      </c>
      <c r="I398" s="313">
        <v>21.48</v>
      </c>
      <c r="J398" s="276">
        <v>829.09</v>
      </c>
      <c r="K398" s="313">
        <v>21.48</v>
      </c>
      <c r="L398" s="276">
        <v>776.93</v>
      </c>
      <c r="M398" s="317">
        <f t="shared" si="72"/>
        <v>0.0276472783905886</v>
      </c>
      <c r="N398" s="145">
        <v>309.3</v>
      </c>
      <c r="O398" s="318">
        <f t="shared" si="73"/>
        <v>8.551303206209054</v>
      </c>
      <c r="P398" s="318">
        <f t="shared" si="74"/>
        <v>1658.836703435316</v>
      </c>
      <c r="Q398" s="319">
        <f t="shared" si="75"/>
        <v>513.0781923725432</v>
      </c>
      <c r="S398" s="88"/>
      <c r="T398" s="88"/>
    </row>
    <row r="399" spans="1:20" ht="12.75">
      <c r="A399" s="979"/>
      <c r="B399" s="34">
        <v>2</v>
      </c>
      <c r="C399" s="499" t="s">
        <v>630</v>
      </c>
      <c r="D399" s="135">
        <v>19</v>
      </c>
      <c r="E399" s="135">
        <v>1981</v>
      </c>
      <c r="F399" s="388">
        <f t="shared" si="71"/>
        <v>32.47</v>
      </c>
      <c r="G399" s="222">
        <v>1.56</v>
      </c>
      <c r="H399" s="222">
        <v>3.04</v>
      </c>
      <c r="I399" s="222">
        <v>27.87</v>
      </c>
      <c r="J399" s="277">
        <v>1053.79</v>
      </c>
      <c r="K399" s="222">
        <v>27.87</v>
      </c>
      <c r="L399" s="277">
        <v>1006.41</v>
      </c>
      <c r="M399" s="146">
        <f t="shared" si="72"/>
        <v>0.027692491131844875</v>
      </c>
      <c r="N399" s="147">
        <v>309.3</v>
      </c>
      <c r="O399" s="148">
        <f t="shared" si="73"/>
        <v>8.56528750707962</v>
      </c>
      <c r="P399" s="208">
        <f t="shared" si="74"/>
        <v>1661.5494679106926</v>
      </c>
      <c r="Q399" s="149">
        <f t="shared" si="75"/>
        <v>513.9172504247772</v>
      </c>
      <c r="S399" s="88"/>
      <c r="T399" s="88"/>
    </row>
    <row r="400" spans="1:20" ht="12.75">
      <c r="A400" s="979"/>
      <c r="B400" s="34">
        <v>3</v>
      </c>
      <c r="C400" s="499" t="s">
        <v>631</v>
      </c>
      <c r="D400" s="135">
        <v>18</v>
      </c>
      <c r="E400" s="135">
        <v>1959</v>
      </c>
      <c r="F400" s="388">
        <f t="shared" si="71"/>
        <v>23.23</v>
      </c>
      <c r="G400" s="222">
        <v>0</v>
      </c>
      <c r="H400" s="222">
        <v>0</v>
      </c>
      <c r="I400" s="222">
        <v>23.23</v>
      </c>
      <c r="J400" s="277">
        <v>830.87</v>
      </c>
      <c r="K400" s="222">
        <v>23.23</v>
      </c>
      <c r="L400" s="277">
        <v>830.87</v>
      </c>
      <c r="M400" s="146">
        <f t="shared" si="72"/>
        <v>0.027958645756857272</v>
      </c>
      <c r="N400" s="147">
        <v>309.3</v>
      </c>
      <c r="O400" s="148">
        <f t="shared" si="73"/>
        <v>8.647609132595955</v>
      </c>
      <c r="P400" s="208">
        <f t="shared" si="74"/>
        <v>1677.5187454114364</v>
      </c>
      <c r="Q400" s="149">
        <f t="shared" si="75"/>
        <v>518.8565479557573</v>
      </c>
      <c r="S400" s="88"/>
      <c r="T400" s="88"/>
    </row>
    <row r="401" spans="1:20" ht="12.75">
      <c r="A401" s="979"/>
      <c r="B401" s="34">
        <v>4</v>
      </c>
      <c r="C401" s="499" t="s">
        <v>632</v>
      </c>
      <c r="D401" s="135">
        <v>25</v>
      </c>
      <c r="E401" s="135">
        <v>1966</v>
      </c>
      <c r="F401" s="388">
        <f t="shared" si="71"/>
        <v>37</v>
      </c>
      <c r="G401" s="222">
        <v>0</v>
      </c>
      <c r="H401" s="222">
        <v>0</v>
      </c>
      <c r="I401" s="222">
        <v>37</v>
      </c>
      <c r="J401" s="277">
        <v>1638.98</v>
      </c>
      <c r="K401" s="222">
        <v>37</v>
      </c>
      <c r="L401" s="277">
        <v>1303.24</v>
      </c>
      <c r="M401" s="146">
        <f t="shared" si="72"/>
        <v>0.028390779902397103</v>
      </c>
      <c r="N401" s="147">
        <v>309.3</v>
      </c>
      <c r="O401" s="148">
        <f t="shared" si="73"/>
        <v>8.781268223811423</v>
      </c>
      <c r="P401" s="208">
        <f t="shared" si="74"/>
        <v>1703.4467941438263</v>
      </c>
      <c r="Q401" s="149">
        <f t="shared" si="75"/>
        <v>526.8760934286854</v>
      </c>
      <c r="S401" s="88"/>
      <c r="T401" s="88"/>
    </row>
    <row r="402" spans="1:20" ht="12.75">
      <c r="A402" s="979"/>
      <c r="B402" s="34">
        <v>5</v>
      </c>
      <c r="C402" s="499" t="s">
        <v>633</v>
      </c>
      <c r="D402" s="135">
        <v>29</v>
      </c>
      <c r="E402" s="135">
        <v>1962</v>
      </c>
      <c r="F402" s="388">
        <f t="shared" si="71"/>
        <v>36.2</v>
      </c>
      <c r="G402" s="222">
        <v>0</v>
      </c>
      <c r="H402" s="222">
        <v>0</v>
      </c>
      <c r="I402" s="222">
        <v>36.2</v>
      </c>
      <c r="J402" s="277">
        <v>1326.36</v>
      </c>
      <c r="K402" s="222">
        <v>36.2</v>
      </c>
      <c r="L402" s="277">
        <v>1271.96</v>
      </c>
      <c r="M402" s="146">
        <f t="shared" si="72"/>
        <v>0.028460014465863707</v>
      </c>
      <c r="N402" s="147">
        <v>309.3</v>
      </c>
      <c r="O402" s="148">
        <f t="shared" si="73"/>
        <v>8.802682474291645</v>
      </c>
      <c r="P402" s="208">
        <f t="shared" si="74"/>
        <v>1707.6008679518225</v>
      </c>
      <c r="Q402" s="149">
        <f t="shared" si="75"/>
        <v>528.1609484574986</v>
      </c>
      <c r="S402" s="88"/>
      <c r="T402" s="88"/>
    </row>
    <row r="403" spans="1:20" ht="12.75">
      <c r="A403" s="979"/>
      <c r="B403" s="34">
        <v>6</v>
      </c>
      <c r="C403" s="499" t="s">
        <v>634</v>
      </c>
      <c r="D403" s="135">
        <v>32</v>
      </c>
      <c r="E403" s="135">
        <v>1965</v>
      </c>
      <c r="F403" s="388">
        <f t="shared" si="71"/>
        <v>41.33</v>
      </c>
      <c r="G403" s="222">
        <v>0</v>
      </c>
      <c r="H403" s="222">
        <v>0</v>
      </c>
      <c r="I403" s="222">
        <v>41.33</v>
      </c>
      <c r="J403" s="277">
        <v>1419.59</v>
      </c>
      <c r="K403" s="222">
        <v>41.33</v>
      </c>
      <c r="L403" s="277">
        <v>1419.59</v>
      </c>
      <c r="M403" s="146">
        <f t="shared" si="72"/>
        <v>0.02911403996928691</v>
      </c>
      <c r="N403" s="147">
        <v>309.3</v>
      </c>
      <c r="O403" s="148">
        <f t="shared" si="73"/>
        <v>9.004972562500441</v>
      </c>
      <c r="P403" s="208">
        <f t="shared" si="74"/>
        <v>1746.8423981572146</v>
      </c>
      <c r="Q403" s="149">
        <f t="shared" si="75"/>
        <v>540.2983537500264</v>
      </c>
      <c r="S403" s="88"/>
      <c r="T403" s="88"/>
    </row>
    <row r="404" spans="1:20" ht="12.75">
      <c r="A404" s="979"/>
      <c r="B404" s="34">
        <v>7</v>
      </c>
      <c r="C404" s="499" t="s">
        <v>635</v>
      </c>
      <c r="D404" s="135">
        <v>45</v>
      </c>
      <c r="E404" s="135">
        <v>1982</v>
      </c>
      <c r="F404" s="388">
        <f t="shared" si="71"/>
        <v>50.03</v>
      </c>
      <c r="G404" s="222">
        <v>3.39</v>
      </c>
      <c r="H404" s="222">
        <v>1.1</v>
      </c>
      <c r="I404" s="222">
        <v>45.54</v>
      </c>
      <c r="J404" s="277">
        <v>1563.22</v>
      </c>
      <c r="K404" s="222">
        <v>45.54</v>
      </c>
      <c r="L404" s="277">
        <v>1563.22</v>
      </c>
      <c r="M404" s="146">
        <f t="shared" si="72"/>
        <v>0.029132175893348343</v>
      </c>
      <c r="N404" s="147">
        <v>309.3</v>
      </c>
      <c r="O404" s="148">
        <f t="shared" si="73"/>
        <v>9.010582003812642</v>
      </c>
      <c r="P404" s="208">
        <f t="shared" si="74"/>
        <v>1747.9305536009006</v>
      </c>
      <c r="Q404" s="149">
        <f t="shared" si="75"/>
        <v>540.6349202287586</v>
      </c>
      <c r="S404" s="88"/>
      <c r="T404" s="88"/>
    </row>
    <row r="405" spans="1:20" ht="12.75">
      <c r="A405" s="979"/>
      <c r="B405" s="34">
        <v>8</v>
      </c>
      <c r="C405" s="499" t="s">
        <v>636</v>
      </c>
      <c r="D405" s="135">
        <v>12</v>
      </c>
      <c r="E405" s="135">
        <v>1985</v>
      </c>
      <c r="F405" s="388">
        <f t="shared" si="71"/>
        <v>6.39</v>
      </c>
      <c r="G405" s="222">
        <v>0</v>
      </c>
      <c r="H405" s="222">
        <v>0</v>
      </c>
      <c r="I405" s="222">
        <v>6.39</v>
      </c>
      <c r="J405" s="277">
        <v>677.24</v>
      </c>
      <c r="K405" s="222">
        <v>6.39</v>
      </c>
      <c r="L405" s="277">
        <v>218.02</v>
      </c>
      <c r="M405" s="146">
        <f t="shared" si="72"/>
        <v>0.029309237684616088</v>
      </c>
      <c r="N405" s="147">
        <v>309.3</v>
      </c>
      <c r="O405" s="148">
        <f t="shared" si="73"/>
        <v>9.065347215851757</v>
      </c>
      <c r="P405" s="208">
        <f t="shared" si="74"/>
        <v>1758.5542610769653</v>
      </c>
      <c r="Q405" s="149">
        <f t="shared" si="75"/>
        <v>543.9208329511055</v>
      </c>
      <c r="S405" s="88"/>
      <c r="T405" s="88"/>
    </row>
    <row r="406" spans="1:20" ht="12.75">
      <c r="A406" s="979"/>
      <c r="B406" s="34">
        <v>9</v>
      </c>
      <c r="C406" s="499" t="s">
        <v>637</v>
      </c>
      <c r="D406" s="135">
        <v>21</v>
      </c>
      <c r="E406" s="135">
        <v>1973</v>
      </c>
      <c r="F406" s="388">
        <f t="shared" si="71"/>
        <v>29.17</v>
      </c>
      <c r="G406" s="222">
        <v>0</v>
      </c>
      <c r="H406" s="222">
        <v>0</v>
      </c>
      <c r="I406" s="222">
        <v>29.17</v>
      </c>
      <c r="J406" s="277">
        <v>993.64</v>
      </c>
      <c r="K406" s="222">
        <v>29.17</v>
      </c>
      <c r="L406" s="277">
        <v>993.64</v>
      </c>
      <c r="M406" s="146">
        <f t="shared" si="72"/>
        <v>0.029356708667122904</v>
      </c>
      <c r="N406" s="147">
        <v>309.3</v>
      </c>
      <c r="O406" s="148">
        <f t="shared" si="73"/>
        <v>9.080029990741115</v>
      </c>
      <c r="P406" s="208">
        <f t="shared" si="74"/>
        <v>1761.4025200273743</v>
      </c>
      <c r="Q406" s="149">
        <f t="shared" si="75"/>
        <v>544.801799444467</v>
      </c>
      <c r="S406" s="88"/>
      <c r="T406" s="88"/>
    </row>
    <row r="407" spans="1:20" ht="13.5" thickBot="1">
      <c r="A407" s="980"/>
      <c r="B407" s="36">
        <v>10</v>
      </c>
      <c r="C407" s="501" t="s">
        <v>638</v>
      </c>
      <c r="D407" s="136">
        <v>29</v>
      </c>
      <c r="E407" s="136">
        <v>1960</v>
      </c>
      <c r="F407" s="419">
        <f t="shared" si="71"/>
        <v>35.19</v>
      </c>
      <c r="G407" s="312">
        <v>0</v>
      </c>
      <c r="H407" s="312">
        <v>0</v>
      </c>
      <c r="I407" s="312">
        <v>35.19</v>
      </c>
      <c r="J407" s="278">
        <v>1187.67</v>
      </c>
      <c r="K407" s="312">
        <v>35.19</v>
      </c>
      <c r="L407" s="278">
        <v>1187.67</v>
      </c>
      <c r="M407" s="211">
        <f t="shared" si="72"/>
        <v>0.029629442521912647</v>
      </c>
      <c r="N407" s="221">
        <v>309.3</v>
      </c>
      <c r="O407" s="212">
        <f t="shared" si="73"/>
        <v>9.164386572027583</v>
      </c>
      <c r="P407" s="212">
        <f t="shared" si="74"/>
        <v>1777.766551314759</v>
      </c>
      <c r="Q407" s="213">
        <f t="shared" si="75"/>
        <v>549.863194321655</v>
      </c>
      <c r="S407" s="88"/>
      <c r="T407" s="88"/>
    </row>
    <row r="408" spans="1:20" ht="12.75">
      <c r="A408" s="941" t="s">
        <v>12</v>
      </c>
      <c r="B408" s="79">
        <v>1</v>
      </c>
      <c r="C408" s="508" t="s">
        <v>639</v>
      </c>
      <c r="D408" s="167">
        <v>5</v>
      </c>
      <c r="E408" s="167">
        <v>1957</v>
      </c>
      <c r="F408" s="250">
        <f t="shared" si="71"/>
        <v>7.279999999999999</v>
      </c>
      <c r="G408" s="250">
        <v>0.27</v>
      </c>
      <c r="H408" s="250">
        <v>0.12</v>
      </c>
      <c r="I408" s="250">
        <v>6.89</v>
      </c>
      <c r="J408" s="274">
        <v>351.84</v>
      </c>
      <c r="K408" s="250">
        <v>6.89</v>
      </c>
      <c r="L408" s="274">
        <v>227.58</v>
      </c>
      <c r="M408" s="320">
        <f t="shared" si="72"/>
        <v>0.030275068107918093</v>
      </c>
      <c r="N408" s="256">
        <v>309.3</v>
      </c>
      <c r="O408" s="321">
        <f t="shared" si="73"/>
        <v>9.364078565779067</v>
      </c>
      <c r="P408" s="321">
        <f t="shared" si="74"/>
        <v>1816.5040864750856</v>
      </c>
      <c r="Q408" s="322">
        <f t="shared" si="75"/>
        <v>561.844713946744</v>
      </c>
      <c r="S408" s="88"/>
      <c r="T408" s="88"/>
    </row>
    <row r="409" spans="1:20" ht="12.75">
      <c r="A409" s="942"/>
      <c r="B409" s="41">
        <v>2</v>
      </c>
      <c r="C409" s="502" t="s">
        <v>640</v>
      </c>
      <c r="D409" s="137">
        <v>5</v>
      </c>
      <c r="E409" s="137">
        <v>1923</v>
      </c>
      <c r="F409" s="389">
        <f t="shared" si="71"/>
        <v>6.39</v>
      </c>
      <c r="G409" s="218">
        <v>0</v>
      </c>
      <c r="H409" s="218">
        <v>0</v>
      </c>
      <c r="I409" s="218">
        <v>6.39</v>
      </c>
      <c r="J409" s="275">
        <v>208.38</v>
      </c>
      <c r="K409" s="218">
        <v>6.39</v>
      </c>
      <c r="L409" s="275">
        <v>208.38</v>
      </c>
      <c r="M409" s="150">
        <f t="shared" si="72"/>
        <v>0.03066513101065361</v>
      </c>
      <c r="N409" s="151">
        <v>309.3</v>
      </c>
      <c r="O409" s="152">
        <f t="shared" si="73"/>
        <v>9.484725021595162</v>
      </c>
      <c r="P409" s="171">
        <f t="shared" si="74"/>
        <v>1839.9078606392168</v>
      </c>
      <c r="Q409" s="153">
        <f t="shared" si="75"/>
        <v>569.0835012957098</v>
      </c>
      <c r="S409" s="88"/>
      <c r="T409" s="481" t="s">
        <v>438</v>
      </c>
    </row>
    <row r="410" spans="1:20" ht="12.75">
      <c r="A410" s="942"/>
      <c r="B410" s="41">
        <v>3</v>
      </c>
      <c r="C410" s="502" t="s">
        <v>641</v>
      </c>
      <c r="D410" s="137">
        <v>21</v>
      </c>
      <c r="E410" s="137">
        <v>1974</v>
      </c>
      <c r="F410" s="389">
        <f t="shared" si="71"/>
        <v>33.25</v>
      </c>
      <c r="G410" s="218">
        <v>0</v>
      </c>
      <c r="H410" s="218">
        <v>0</v>
      </c>
      <c r="I410" s="218">
        <v>33.25</v>
      </c>
      <c r="J410" s="275">
        <v>1145.06</v>
      </c>
      <c r="K410" s="218">
        <v>33.25</v>
      </c>
      <c r="L410" s="275">
        <v>1081.36</v>
      </c>
      <c r="M410" s="150">
        <f t="shared" si="72"/>
        <v>0.03074831693423097</v>
      </c>
      <c r="N410" s="151">
        <v>309.3</v>
      </c>
      <c r="O410" s="152">
        <f t="shared" si="73"/>
        <v>9.51045442775764</v>
      </c>
      <c r="P410" s="171">
        <f t="shared" si="74"/>
        <v>1844.8990160538583</v>
      </c>
      <c r="Q410" s="153">
        <f t="shared" si="75"/>
        <v>570.6272656654584</v>
      </c>
      <c r="S410" s="88"/>
      <c r="T410" s="88"/>
    </row>
    <row r="411" spans="1:20" ht="12.75">
      <c r="A411" s="942"/>
      <c r="B411" s="41">
        <v>4</v>
      </c>
      <c r="C411" s="502" t="s">
        <v>642</v>
      </c>
      <c r="D411" s="137">
        <v>67</v>
      </c>
      <c r="E411" s="137">
        <v>1970</v>
      </c>
      <c r="F411" s="389">
        <f t="shared" si="71"/>
        <v>93.4</v>
      </c>
      <c r="G411" s="218">
        <v>0</v>
      </c>
      <c r="H411" s="218">
        <v>0</v>
      </c>
      <c r="I411" s="218">
        <v>93.4</v>
      </c>
      <c r="J411" s="275">
        <v>3022.05</v>
      </c>
      <c r="K411" s="218">
        <v>93.4</v>
      </c>
      <c r="L411" s="275">
        <v>3022.05</v>
      </c>
      <c r="M411" s="150">
        <f t="shared" si="72"/>
        <v>0.030906172962062176</v>
      </c>
      <c r="N411" s="151">
        <v>309.3</v>
      </c>
      <c r="O411" s="152">
        <f t="shared" si="73"/>
        <v>9.559279297165832</v>
      </c>
      <c r="P411" s="171">
        <f t="shared" si="74"/>
        <v>1854.3703777237306</v>
      </c>
      <c r="Q411" s="153">
        <f t="shared" si="75"/>
        <v>573.5567578299498</v>
      </c>
      <c r="S411" s="88"/>
      <c r="T411" s="88"/>
    </row>
    <row r="412" spans="1:20" ht="12.75">
      <c r="A412" s="942"/>
      <c r="B412" s="41">
        <v>5</v>
      </c>
      <c r="C412" s="502" t="s">
        <v>643</v>
      </c>
      <c r="D412" s="137">
        <v>10</v>
      </c>
      <c r="E412" s="137">
        <v>1925</v>
      </c>
      <c r="F412" s="389">
        <f t="shared" si="71"/>
        <v>16.68</v>
      </c>
      <c r="G412" s="218">
        <v>0.86</v>
      </c>
      <c r="H412" s="218">
        <v>1.52</v>
      </c>
      <c r="I412" s="218">
        <v>14.3</v>
      </c>
      <c r="J412" s="275">
        <v>547.67</v>
      </c>
      <c r="K412" s="218">
        <v>14.3</v>
      </c>
      <c r="L412" s="275">
        <v>458.42</v>
      </c>
      <c r="M412" s="150">
        <f t="shared" si="72"/>
        <v>0.031194101478993062</v>
      </c>
      <c r="N412" s="151">
        <v>309.3</v>
      </c>
      <c r="O412" s="152">
        <f t="shared" si="73"/>
        <v>9.648335587452555</v>
      </c>
      <c r="P412" s="171">
        <f t="shared" si="74"/>
        <v>1871.6460887395838</v>
      </c>
      <c r="Q412" s="153">
        <f t="shared" si="75"/>
        <v>578.9001352471532</v>
      </c>
      <c r="S412" s="88"/>
      <c r="T412" s="88"/>
    </row>
    <row r="413" spans="1:20" ht="12.75">
      <c r="A413" s="942"/>
      <c r="B413" s="41">
        <v>6</v>
      </c>
      <c r="C413" s="502" t="s">
        <v>644</v>
      </c>
      <c r="D413" s="137">
        <v>11</v>
      </c>
      <c r="E413" s="137">
        <v>1974</v>
      </c>
      <c r="F413" s="389">
        <f t="shared" si="71"/>
        <v>14.69</v>
      </c>
      <c r="G413" s="218">
        <v>0</v>
      </c>
      <c r="H413" s="218">
        <v>0</v>
      </c>
      <c r="I413" s="218">
        <v>14.69</v>
      </c>
      <c r="J413" s="275">
        <v>1073.94</v>
      </c>
      <c r="K413" s="218">
        <v>14.69</v>
      </c>
      <c r="L413" s="275">
        <v>458.54</v>
      </c>
      <c r="M413" s="150">
        <f t="shared" si="72"/>
        <v>0.03203646355825009</v>
      </c>
      <c r="N413" s="151">
        <v>309.3</v>
      </c>
      <c r="O413" s="152">
        <f t="shared" si="73"/>
        <v>9.908878178566754</v>
      </c>
      <c r="P413" s="171">
        <f t="shared" si="74"/>
        <v>1922.1878134950057</v>
      </c>
      <c r="Q413" s="153">
        <f t="shared" si="75"/>
        <v>594.5326907140053</v>
      </c>
      <c r="S413" s="88"/>
      <c r="T413" s="88"/>
    </row>
    <row r="414" spans="1:20" ht="12.75">
      <c r="A414" s="942"/>
      <c r="B414" s="41">
        <v>7</v>
      </c>
      <c r="C414" s="502" t="s">
        <v>645</v>
      </c>
      <c r="D414" s="137">
        <v>8</v>
      </c>
      <c r="E414" s="137">
        <v>1959</v>
      </c>
      <c r="F414" s="389">
        <f t="shared" si="71"/>
        <v>13.06</v>
      </c>
      <c r="G414" s="218">
        <v>0</v>
      </c>
      <c r="H414" s="218">
        <v>0</v>
      </c>
      <c r="I414" s="218">
        <v>13.06</v>
      </c>
      <c r="J414" s="275">
        <v>441.56</v>
      </c>
      <c r="K414" s="218">
        <v>13.06</v>
      </c>
      <c r="L414" s="275">
        <v>400.91</v>
      </c>
      <c r="M414" s="150">
        <f t="shared" si="72"/>
        <v>0.03257588985058991</v>
      </c>
      <c r="N414" s="151">
        <v>309.3</v>
      </c>
      <c r="O414" s="152">
        <f t="shared" si="73"/>
        <v>10.07572273078746</v>
      </c>
      <c r="P414" s="171">
        <f t="shared" si="74"/>
        <v>1954.5533910353945</v>
      </c>
      <c r="Q414" s="153">
        <f t="shared" si="75"/>
        <v>604.5433638472475</v>
      </c>
      <c r="S414" s="88"/>
      <c r="T414" s="88"/>
    </row>
    <row r="415" spans="1:20" ht="12.75">
      <c r="A415" s="942"/>
      <c r="B415" s="41">
        <v>8</v>
      </c>
      <c r="C415" s="502" t="s">
        <v>646</v>
      </c>
      <c r="D415" s="137">
        <v>14</v>
      </c>
      <c r="E415" s="137">
        <v>1969</v>
      </c>
      <c r="F415" s="389">
        <f t="shared" si="71"/>
        <v>18.2</v>
      </c>
      <c r="G415" s="218">
        <v>1.29</v>
      </c>
      <c r="H415" s="218">
        <v>0.35</v>
      </c>
      <c r="I415" s="218">
        <v>16.56</v>
      </c>
      <c r="J415" s="275">
        <v>500.78</v>
      </c>
      <c r="K415" s="218">
        <v>16.56</v>
      </c>
      <c r="L415" s="275">
        <v>500.78</v>
      </c>
      <c r="M415" s="150">
        <f t="shared" si="72"/>
        <v>0.033068413275290545</v>
      </c>
      <c r="N415" s="151">
        <v>309.3</v>
      </c>
      <c r="O415" s="152">
        <f t="shared" si="73"/>
        <v>10.228060226047367</v>
      </c>
      <c r="P415" s="171">
        <f t="shared" si="74"/>
        <v>1984.1047965174328</v>
      </c>
      <c r="Q415" s="153">
        <f t="shared" si="75"/>
        <v>613.683613562842</v>
      </c>
      <c r="S415" s="88"/>
      <c r="T415" s="88"/>
    </row>
    <row r="416" spans="1:20" ht="12.75">
      <c r="A416" s="942"/>
      <c r="B416" s="41">
        <v>9</v>
      </c>
      <c r="C416" s="509" t="s">
        <v>647</v>
      </c>
      <c r="D416" s="137">
        <v>7</v>
      </c>
      <c r="E416" s="137">
        <v>1964</v>
      </c>
      <c r="F416" s="389">
        <f t="shared" si="71"/>
        <v>12.11</v>
      </c>
      <c r="G416" s="218">
        <v>0</v>
      </c>
      <c r="H416" s="218">
        <v>0</v>
      </c>
      <c r="I416" s="218">
        <v>12.11</v>
      </c>
      <c r="J416" s="275">
        <v>1343.36</v>
      </c>
      <c r="K416" s="218">
        <v>12.16</v>
      </c>
      <c r="L416" s="275">
        <v>310.65</v>
      </c>
      <c r="M416" s="150">
        <f t="shared" si="72"/>
        <v>0.03914373088685016</v>
      </c>
      <c r="N416" s="151">
        <v>309.3</v>
      </c>
      <c r="O416" s="152">
        <f t="shared" si="73"/>
        <v>12.107155963302754</v>
      </c>
      <c r="P416" s="171">
        <f t="shared" si="74"/>
        <v>2348.623853211009</v>
      </c>
      <c r="Q416" s="153">
        <f t="shared" si="75"/>
        <v>726.4293577981651</v>
      </c>
      <c r="S416" s="88"/>
      <c r="T416" s="88"/>
    </row>
    <row r="417" spans="1:20" ht="13.5" thickBot="1">
      <c r="A417" s="943"/>
      <c r="B417" s="45">
        <v>10</v>
      </c>
      <c r="C417" s="510" t="s">
        <v>648</v>
      </c>
      <c r="D417" s="138">
        <v>7</v>
      </c>
      <c r="E417" s="138">
        <v>1973</v>
      </c>
      <c r="F417" s="357">
        <f t="shared" si="71"/>
        <v>11.02</v>
      </c>
      <c r="G417" s="251">
        <v>0</v>
      </c>
      <c r="H417" s="251">
        <v>0</v>
      </c>
      <c r="I417" s="251">
        <v>11.02</v>
      </c>
      <c r="J417" s="365">
        <v>246.04</v>
      </c>
      <c r="K417" s="251">
        <v>11.02</v>
      </c>
      <c r="L417" s="365">
        <v>246.04</v>
      </c>
      <c r="M417" s="154">
        <f t="shared" si="72"/>
        <v>0.044789465127621525</v>
      </c>
      <c r="N417" s="155">
        <v>309.3</v>
      </c>
      <c r="O417" s="156">
        <f t="shared" si="73"/>
        <v>13.853381563973338</v>
      </c>
      <c r="P417" s="156">
        <f t="shared" si="74"/>
        <v>2687.3679076572917</v>
      </c>
      <c r="Q417" s="157">
        <f t="shared" si="75"/>
        <v>831.2028938384003</v>
      </c>
      <c r="R417" s="232"/>
      <c r="S417" s="88"/>
      <c r="T417" s="88"/>
    </row>
    <row r="418" spans="19:20" ht="12.75">
      <c r="S418" s="88"/>
      <c r="T418" s="88"/>
    </row>
    <row r="419" spans="1:20" ht="13.5" customHeight="1">
      <c r="A419" s="967" t="s">
        <v>429</v>
      </c>
      <c r="B419" s="967"/>
      <c r="C419" s="967"/>
      <c r="D419" s="967"/>
      <c r="E419" s="967"/>
      <c r="F419" s="967"/>
      <c r="G419" s="967"/>
      <c r="H419" s="967"/>
      <c r="I419" s="967"/>
      <c r="J419" s="967"/>
      <c r="K419" s="967"/>
      <c r="L419" s="967"/>
      <c r="M419" s="967"/>
      <c r="N419" s="967"/>
      <c r="O419" s="967"/>
      <c r="P419" s="967"/>
      <c r="Q419" s="967"/>
      <c r="S419" s="88"/>
      <c r="T419" s="88"/>
    </row>
    <row r="420" spans="1:20" ht="12" customHeight="1" thickBot="1">
      <c r="A420" s="968" t="s">
        <v>649</v>
      </c>
      <c r="B420" s="968"/>
      <c r="C420" s="968"/>
      <c r="D420" s="968"/>
      <c r="E420" s="968"/>
      <c r="F420" s="968"/>
      <c r="G420" s="968"/>
      <c r="H420" s="968"/>
      <c r="I420" s="968"/>
      <c r="J420" s="968"/>
      <c r="K420" s="968"/>
      <c r="L420" s="968"/>
      <c r="M420" s="968"/>
      <c r="N420" s="968"/>
      <c r="O420" s="968"/>
      <c r="P420" s="968"/>
      <c r="Q420" s="968"/>
      <c r="S420" s="88"/>
      <c r="T420" s="88"/>
    </row>
    <row r="421" spans="1:20" ht="12.75" customHeight="1">
      <c r="A421" s="952" t="s">
        <v>1</v>
      </c>
      <c r="B421" s="955" t="s">
        <v>0</v>
      </c>
      <c r="C421" s="944" t="s">
        <v>2</v>
      </c>
      <c r="D421" s="944" t="s">
        <v>3</v>
      </c>
      <c r="E421" s="944" t="s">
        <v>13</v>
      </c>
      <c r="F421" s="960" t="s">
        <v>14</v>
      </c>
      <c r="G421" s="961"/>
      <c r="H421" s="961"/>
      <c r="I421" s="962"/>
      <c r="J421" s="944" t="s">
        <v>4</v>
      </c>
      <c r="K421" s="944" t="s">
        <v>15</v>
      </c>
      <c r="L421" s="944" t="s">
        <v>5</v>
      </c>
      <c r="M421" s="944" t="s">
        <v>6</v>
      </c>
      <c r="N421" s="944" t="s">
        <v>16</v>
      </c>
      <c r="O421" s="969" t="s">
        <v>17</v>
      </c>
      <c r="P421" s="944" t="s">
        <v>25</v>
      </c>
      <c r="Q421" s="929" t="s">
        <v>26</v>
      </c>
      <c r="S421" s="88"/>
      <c r="T421" s="88"/>
    </row>
    <row r="422" spans="1:20" s="2" customFormat="1" ht="33.75">
      <c r="A422" s="953"/>
      <c r="B422" s="956"/>
      <c r="C422" s="958"/>
      <c r="D422" s="945"/>
      <c r="E422" s="945"/>
      <c r="F422" s="37" t="s">
        <v>18</v>
      </c>
      <c r="G422" s="37" t="s">
        <v>19</v>
      </c>
      <c r="H422" s="37" t="s">
        <v>20</v>
      </c>
      <c r="I422" s="37" t="s">
        <v>21</v>
      </c>
      <c r="J422" s="945"/>
      <c r="K422" s="945"/>
      <c r="L422" s="945"/>
      <c r="M422" s="945"/>
      <c r="N422" s="945"/>
      <c r="O422" s="970"/>
      <c r="P422" s="945"/>
      <c r="Q422" s="930"/>
      <c r="S422" s="88"/>
      <c r="T422" s="88"/>
    </row>
    <row r="423" spans="1:20" s="3" customFormat="1" ht="10.5" customHeight="1" thickBot="1">
      <c r="A423" s="954"/>
      <c r="B423" s="957"/>
      <c r="C423" s="959"/>
      <c r="D423" s="58" t="s">
        <v>7</v>
      </c>
      <c r="E423" s="58" t="s">
        <v>8</v>
      </c>
      <c r="F423" s="58" t="s">
        <v>9</v>
      </c>
      <c r="G423" s="58" t="s">
        <v>9</v>
      </c>
      <c r="H423" s="58" t="s">
        <v>9</v>
      </c>
      <c r="I423" s="58" t="s">
        <v>9</v>
      </c>
      <c r="J423" s="58" t="s">
        <v>22</v>
      </c>
      <c r="K423" s="58" t="s">
        <v>9</v>
      </c>
      <c r="L423" s="58" t="s">
        <v>22</v>
      </c>
      <c r="M423" s="58" t="s">
        <v>23</v>
      </c>
      <c r="N423" s="58" t="s">
        <v>10</v>
      </c>
      <c r="O423" s="58" t="s">
        <v>24</v>
      </c>
      <c r="P423" s="59" t="s">
        <v>27</v>
      </c>
      <c r="Q423" s="60" t="s">
        <v>28</v>
      </c>
      <c r="S423" s="88"/>
      <c r="T423" s="88"/>
    </row>
    <row r="424" spans="1:20" s="92" customFormat="1" ht="12.75">
      <c r="A424" s="931" t="s">
        <v>11</v>
      </c>
      <c r="B424" s="102">
        <v>1</v>
      </c>
      <c r="C424" s="851" t="s">
        <v>345</v>
      </c>
      <c r="D424" s="852">
        <v>58</v>
      </c>
      <c r="E424" s="511">
        <v>1975</v>
      </c>
      <c r="F424" s="253">
        <f>G424+H424+I424</f>
        <v>49.415003999999996</v>
      </c>
      <c r="G424" s="592">
        <v>6.528</v>
      </c>
      <c r="H424" s="592">
        <v>9.52</v>
      </c>
      <c r="I424" s="592">
        <v>33.367004</v>
      </c>
      <c r="J424" s="596">
        <v>2754.15</v>
      </c>
      <c r="K424" s="592">
        <v>33.367004</v>
      </c>
      <c r="L424" s="600">
        <v>2706.9700000000003</v>
      </c>
      <c r="M424" s="173">
        <f aca="true" t="shared" si="76" ref="M424:M463">K424/L424</f>
        <v>0.012326329438449631</v>
      </c>
      <c r="N424" s="160">
        <v>307.816</v>
      </c>
      <c r="O424" s="164">
        <f>M424*N424</f>
        <v>3.794241422425811</v>
      </c>
      <c r="P424" s="164">
        <f>M424*60*1000</f>
        <v>739.5797663069778</v>
      </c>
      <c r="Q424" s="667">
        <f>P424*N424/1000</f>
        <v>227.65448534554866</v>
      </c>
      <c r="R424" s="101"/>
      <c r="S424" s="88"/>
      <c r="T424" s="88"/>
    </row>
    <row r="425" spans="1:20" s="92" customFormat="1" ht="12.75">
      <c r="A425" s="932"/>
      <c r="B425" s="91">
        <v>2</v>
      </c>
      <c r="C425" s="849" t="s">
        <v>214</v>
      </c>
      <c r="D425" s="844">
        <v>59</v>
      </c>
      <c r="E425" s="512">
        <v>1974</v>
      </c>
      <c r="F425" s="248">
        <f aca="true" t="shared" si="77" ref="F425:F463">G425+H425+I425</f>
        <v>57.960999</v>
      </c>
      <c r="G425" s="592">
        <v>7.140000000000001</v>
      </c>
      <c r="H425" s="592">
        <v>9.6</v>
      </c>
      <c r="I425" s="592">
        <v>41.220999</v>
      </c>
      <c r="J425" s="596">
        <v>2729.69</v>
      </c>
      <c r="K425" s="592">
        <v>41.220999</v>
      </c>
      <c r="L425" s="601">
        <v>2729.69</v>
      </c>
      <c r="M425" s="141">
        <f t="shared" si="76"/>
        <v>0.01510098179646773</v>
      </c>
      <c r="N425" s="142">
        <v>307.816</v>
      </c>
      <c r="O425" s="143">
        <f aca="true" t="shared" si="78" ref="O425:O443">M425*N425</f>
        <v>4.64832381266151</v>
      </c>
      <c r="P425" s="591">
        <f aca="true" t="shared" si="79" ref="P425:P443">M425*60*1000</f>
        <v>906.0589077880637</v>
      </c>
      <c r="Q425" s="144">
        <f aca="true" t="shared" si="80" ref="Q425:Q443">P425*N425/1000</f>
        <v>278.8994287596906</v>
      </c>
      <c r="S425" s="88"/>
      <c r="T425" s="88"/>
    </row>
    <row r="426" spans="1:20" s="92" customFormat="1" ht="12.75">
      <c r="A426" s="932"/>
      <c r="B426" s="91">
        <v>3</v>
      </c>
      <c r="C426" s="849" t="s">
        <v>205</v>
      </c>
      <c r="D426" s="845">
        <v>49</v>
      </c>
      <c r="E426" s="512">
        <v>1969</v>
      </c>
      <c r="F426" s="248">
        <f t="shared" si="77"/>
        <v>51.045119</v>
      </c>
      <c r="G426" s="592">
        <v>4.641</v>
      </c>
      <c r="H426" s="592">
        <v>7.84</v>
      </c>
      <c r="I426" s="592">
        <v>38.564119</v>
      </c>
      <c r="J426" s="596">
        <v>2600.39</v>
      </c>
      <c r="K426" s="592">
        <v>38.564119</v>
      </c>
      <c r="L426" s="601">
        <v>2528.6</v>
      </c>
      <c r="M426" s="141">
        <f t="shared" si="76"/>
        <v>0.01525117416752353</v>
      </c>
      <c r="N426" s="142">
        <v>307.816</v>
      </c>
      <c r="O426" s="143">
        <f t="shared" si="78"/>
        <v>4.694555427550423</v>
      </c>
      <c r="P426" s="591">
        <f t="shared" si="79"/>
        <v>915.0704500514119</v>
      </c>
      <c r="Q426" s="144">
        <f t="shared" si="80"/>
        <v>281.67332565302536</v>
      </c>
      <c r="S426" s="88"/>
      <c r="T426" s="88"/>
    </row>
    <row r="427" spans="1:20" s="92" customFormat="1" ht="12.75" customHeight="1">
      <c r="A427" s="932"/>
      <c r="B427" s="91">
        <v>4</v>
      </c>
      <c r="C427" s="849" t="s">
        <v>210</v>
      </c>
      <c r="D427" s="845">
        <v>58</v>
      </c>
      <c r="E427" s="512">
        <v>1991</v>
      </c>
      <c r="F427" s="248">
        <f t="shared" si="77"/>
        <v>51.544996999999995</v>
      </c>
      <c r="G427" s="592">
        <v>4.641</v>
      </c>
      <c r="H427" s="592">
        <v>9.44</v>
      </c>
      <c r="I427" s="592">
        <v>37.463997</v>
      </c>
      <c r="J427" s="596">
        <v>2439.79</v>
      </c>
      <c r="K427" s="592">
        <v>37.463997</v>
      </c>
      <c r="L427" s="601">
        <v>2439.79</v>
      </c>
      <c r="M427" s="141">
        <f t="shared" si="76"/>
        <v>0.015355418704068792</v>
      </c>
      <c r="N427" s="142">
        <v>307.816</v>
      </c>
      <c r="O427" s="143">
        <f t="shared" si="78"/>
        <v>4.726643563811639</v>
      </c>
      <c r="P427" s="591">
        <f t="shared" si="79"/>
        <v>921.3251222441276</v>
      </c>
      <c r="Q427" s="144">
        <f t="shared" si="80"/>
        <v>283.5986138286984</v>
      </c>
      <c r="S427" s="88"/>
      <c r="T427" s="88"/>
    </row>
    <row r="428" spans="1:20" s="92" customFormat="1" ht="12.75">
      <c r="A428" s="932"/>
      <c r="B428" s="91">
        <v>5</v>
      </c>
      <c r="C428" s="849" t="s">
        <v>213</v>
      </c>
      <c r="D428" s="845">
        <v>30</v>
      </c>
      <c r="E428" s="512">
        <v>1974</v>
      </c>
      <c r="F428" s="248">
        <f t="shared" si="77"/>
        <v>34.100001</v>
      </c>
      <c r="G428" s="592">
        <v>2.44188</v>
      </c>
      <c r="H428" s="592">
        <v>4.8</v>
      </c>
      <c r="I428" s="592">
        <v>26.858121</v>
      </c>
      <c r="J428" s="596">
        <v>1743.53</v>
      </c>
      <c r="K428" s="592">
        <v>26.858121</v>
      </c>
      <c r="L428" s="601">
        <v>1743.53</v>
      </c>
      <c r="M428" s="141">
        <f t="shared" si="76"/>
        <v>0.015404450167189552</v>
      </c>
      <c r="N428" s="142">
        <v>307.816</v>
      </c>
      <c r="O428" s="143">
        <f t="shared" si="78"/>
        <v>4.7417362326636185</v>
      </c>
      <c r="P428" s="591">
        <f t="shared" si="79"/>
        <v>924.2670100313732</v>
      </c>
      <c r="Q428" s="144">
        <f t="shared" si="80"/>
        <v>284.50417395981714</v>
      </c>
      <c r="S428" s="88"/>
      <c r="T428" s="88"/>
    </row>
    <row r="429" spans="1:20" s="92" customFormat="1" ht="12.75">
      <c r="A429" s="932"/>
      <c r="B429" s="91">
        <v>6</v>
      </c>
      <c r="C429" s="849" t="s">
        <v>216</v>
      </c>
      <c r="D429" s="845">
        <v>39</v>
      </c>
      <c r="E429" s="512">
        <v>1990</v>
      </c>
      <c r="F429" s="248">
        <f t="shared" si="77"/>
        <v>46.400001</v>
      </c>
      <c r="G429" s="592">
        <v>3.5189999999999997</v>
      </c>
      <c r="H429" s="592">
        <v>6.4</v>
      </c>
      <c r="I429" s="592">
        <v>36.481001</v>
      </c>
      <c r="J429" s="596">
        <v>2295.46</v>
      </c>
      <c r="K429" s="592">
        <v>36.481001</v>
      </c>
      <c r="L429" s="601">
        <v>2295.46</v>
      </c>
      <c r="M429" s="141">
        <f t="shared" si="76"/>
        <v>0.015892675542157127</v>
      </c>
      <c r="N429" s="142">
        <v>307.816</v>
      </c>
      <c r="O429" s="143">
        <f t="shared" si="78"/>
        <v>4.892019814684637</v>
      </c>
      <c r="P429" s="591">
        <f t="shared" si="79"/>
        <v>953.5605325294276</v>
      </c>
      <c r="Q429" s="144">
        <f t="shared" si="80"/>
        <v>293.5211888810783</v>
      </c>
      <c r="S429" s="88"/>
      <c r="T429" s="88"/>
    </row>
    <row r="430" spans="1:20" s="92" customFormat="1" ht="12.75" customHeight="1">
      <c r="A430" s="932"/>
      <c r="B430" s="91">
        <v>7</v>
      </c>
      <c r="C430" s="849" t="s">
        <v>209</v>
      </c>
      <c r="D430" s="845">
        <v>83</v>
      </c>
      <c r="E430" s="512">
        <v>1995</v>
      </c>
      <c r="F430" s="248">
        <f t="shared" si="77"/>
        <v>104.19999899999999</v>
      </c>
      <c r="G430" s="592">
        <v>10.097999999999999</v>
      </c>
      <c r="H430" s="592">
        <v>14.4</v>
      </c>
      <c r="I430" s="592">
        <v>79.701999</v>
      </c>
      <c r="J430" s="596">
        <v>5013.09</v>
      </c>
      <c r="K430" s="592">
        <v>79.701999</v>
      </c>
      <c r="L430" s="601">
        <v>5013.09</v>
      </c>
      <c r="M430" s="141">
        <f t="shared" si="76"/>
        <v>0.015898776802331496</v>
      </c>
      <c r="N430" s="142">
        <v>307.816</v>
      </c>
      <c r="O430" s="143">
        <f t="shared" si="78"/>
        <v>4.893897880186471</v>
      </c>
      <c r="P430" s="591">
        <f t="shared" si="79"/>
        <v>953.9266081398898</v>
      </c>
      <c r="Q430" s="144">
        <f t="shared" si="80"/>
        <v>293.63387281118827</v>
      </c>
      <c r="S430" s="88"/>
      <c r="T430" s="88"/>
    </row>
    <row r="431" spans="1:20" s="92" customFormat="1" ht="12.75" customHeight="1">
      <c r="A431" s="932"/>
      <c r="B431" s="91">
        <v>8</v>
      </c>
      <c r="C431" s="849" t="s">
        <v>212</v>
      </c>
      <c r="D431" s="845">
        <v>40</v>
      </c>
      <c r="E431" s="512">
        <v>1990</v>
      </c>
      <c r="F431" s="248">
        <f t="shared" si="77"/>
        <v>47.500004000000004</v>
      </c>
      <c r="G431" s="592">
        <v>4.829904</v>
      </c>
      <c r="H431" s="592">
        <v>6.32</v>
      </c>
      <c r="I431" s="592">
        <v>36.350100000000005</v>
      </c>
      <c r="J431" s="596">
        <v>2285.64</v>
      </c>
      <c r="K431" s="592">
        <v>36.350100000000005</v>
      </c>
      <c r="L431" s="601">
        <v>2285.64</v>
      </c>
      <c r="M431" s="141">
        <f t="shared" si="76"/>
        <v>0.015903685619782646</v>
      </c>
      <c r="N431" s="142">
        <v>307.816</v>
      </c>
      <c r="O431" s="143">
        <f t="shared" si="78"/>
        <v>4.895408892739015</v>
      </c>
      <c r="P431" s="591">
        <f t="shared" si="79"/>
        <v>954.2211371869588</v>
      </c>
      <c r="Q431" s="144">
        <f t="shared" si="80"/>
        <v>293.7245335643409</v>
      </c>
      <c r="S431" s="88"/>
      <c r="T431" s="88"/>
    </row>
    <row r="432" spans="1:20" s="92" customFormat="1" ht="12.75">
      <c r="A432" s="932"/>
      <c r="B432" s="91">
        <v>9</v>
      </c>
      <c r="C432" s="849" t="s">
        <v>208</v>
      </c>
      <c r="D432" s="845">
        <v>30</v>
      </c>
      <c r="E432" s="512">
        <v>1990</v>
      </c>
      <c r="F432" s="248">
        <f t="shared" si="77"/>
        <v>34.799999</v>
      </c>
      <c r="G432" s="592">
        <v>3.978</v>
      </c>
      <c r="H432" s="592">
        <v>4.8</v>
      </c>
      <c r="I432" s="592">
        <v>26.021999</v>
      </c>
      <c r="J432" s="596">
        <v>1613.04</v>
      </c>
      <c r="K432" s="592">
        <v>26.021999</v>
      </c>
      <c r="L432" s="601">
        <v>1613.04</v>
      </c>
      <c r="M432" s="141">
        <f t="shared" si="76"/>
        <v>0.016132271363388385</v>
      </c>
      <c r="N432" s="142">
        <v>307.816</v>
      </c>
      <c r="O432" s="143">
        <f t="shared" si="78"/>
        <v>4.965771241992758</v>
      </c>
      <c r="P432" s="591">
        <f t="shared" si="79"/>
        <v>967.9362818033031</v>
      </c>
      <c r="Q432" s="144">
        <f t="shared" si="80"/>
        <v>297.9462745195655</v>
      </c>
      <c r="S432" s="88"/>
      <c r="T432" s="88"/>
    </row>
    <row r="433" spans="1:20" s="92" customFormat="1" ht="13.5" thickBot="1">
      <c r="A433" s="933"/>
      <c r="B433" s="100">
        <v>10</v>
      </c>
      <c r="C433" s="850" t="s">
        <v>346</v>
      </c>
      <c r="D433" s="846">
        <v>97</v>
      </c>
      <c r="E433" s="133">
        <v>1974</v>
      </c>
      <c r="F433" s="249">
        <f t="shared" si="77"/>
        <v>85.112867</v>
      </c>
      <c r="G433" s="664">
        <v>8.673876</v>
      </c>
      <c r="H433" s="664">
        <v>15.84</v>
      </c>
      <c r="I433" s="664">
        <v>60.598991</v>
      </c>
      <c r="J433" s="665">
        <v>3738.86</v>
      </c>
      <c r="K433" s="664">
        <v>60.598991</v>
      </c>
      <c r="L433" s="666">
        <v>3705.7000000000003</v>
      </c>
      <c r="M433" s="174">
        <f t="shared" si="76"/>
        <v>0.01635291334970451</v>
      </c>
      <c r="N433" s="162">
        <v>307.816</v>
      </c>
      <c r="O433" s="175">
        <f t="shared" si="78"/>
        <v>5.033688375652643</v>
      </c>
      <c r="P433" s="273">
        <f t="shared" si="79"/>
        <v>981.1748009822705</v>
      </c>
      <c r="Q433" s="165">
        <f t="shared" si="80"/>
        <v>302.02130253915857</v>
      </c>
      <c r="S433" s="88"/>
      <c r="T433" s="88"/>
    </row>
    <row r="434" spans="1:20" s="92" customFormat="1" ht="11.25" customHeight="1">
      <c r="A434" s="971" t="s">
        <v>33</v>
      </c>
      <c r="B434" s="758">
        <v>1</v>
      </c>
      <c r="C434" s="853" t="s">
        <v>211</v>
      </c>
      <c r="D434" s="847">
        <v>48</v>
      </c>
      <c r="E434" s="832">
        <v>1970</v>
      </c>
      <c r="F434" s="744">
        <f t="shared" si="77"/>
        <v>52.762193</v>
      </c>
      <c r="G434" s="833">
        <v>4.182</v>
      </c>
      <c r="H434" s="833">
        <v>7.68</v>
      </c>
      <c r="I434" s="833">
        <v>40.900193</v>
      </c>
      <c r="J434" s="834">
        <v>2597.12</v>
      </c>
      <c r="K434" s="833">
        <v>40.900193</v>
      </c>
      <c r="L434" s="835">
        <v>2461.48</v>
      </c>
      <c r="M434" s="714">
        <f t="shared" si="76"/>
        <v>0.016616098038578418</v>
      </c>
      <c r="N434" s="715">
        <v>307.816</v>
      </c>
      <c r="O434" s="716">
        <f t="shared" si="78"/>
        <v>5.114700833843053</v>
      </c>
      <c r="P434" s="716">
        <f t="shared" si="79"/>
        <v>996.965882314705</v>
      </c>
      <c r="Q434" s="717">
        <f t="shared" si="80"/>
        <v>306.88205003058323</v>
      </c>
      <c r="S434" s="88"/>
      <c r="T434" s="88"/>
    </row>
    <row r="435" spans="1:20" s="92" customFormat="1" ht="12.75" customHeight="1">
      <c r="A435" s="972"/>
      <c r="B435" s="755">
        <v>2</v>
      </c>
      <c r="C435" s="854" t="s">
        <v>206</v>
      </c>
      <c r="D435" s="848">
        <v>50</v>
      </c>
      <c r="E435" s="836">
        <v>1971</v>
      </c>
      <c r="F435" s="711">
        <f t="shared" si="77"/>
        <v>55.893999</v>
      </c>
      <c r="G435" s="837">
        <v>4.539</v>
      </c>
      <c r="H435" s="837">
        <v>8</v>
      </c>
      <c r="I435" s="837">
        <v>43.354999</v>
      </c>
      <c r="J435" s="838">
        <v>2601.9</v>
      </c>
      <c r="K435" s="837">
        <v>43.354999</v>
      </c>
      <c r="L435" s="839">
        <v>2601.9</v>
      </c>
      <c r="M435" s="721">
        <f t="shared" si="76"/>
        <v>0.01666282293708444</v>
      </c>
      <c r="N435" s="720">
        <v>307.816</v>
      </c>
      <c r="O435" s="723">
        <f t="shared" si="78"/>
        <v>5.129083505201583</v>
      </c>
      <c r="P435" s="723">
        <f t="shared" si="79"/>
        <v>999.7693762250664</v>
      </c>
      <c r="Q435" s="722">
        <f t="shared" si="80"/>
        <v>307.745010312095</v>
      </c>
      <c r="S435" s="88"/>
      <c r="T435" s="88"/>
    </row>
    <row r="436" spans="1:20" s="92" customFormat="1" ht="12.75" customHeight="1">
      <c r="A436" s="972"/>
      <c r="B436" s="755">
        <v>3</v>
      </c>
      <c r="C436" s="854" t="s">
        <v>215</v>
      </c>
      <c r="D436" s="848">
        <v>50</v>
      </c>
      <c r="E436" s="836">
        <v>1971</v>
      </c>
      <c r="F436" s="711">
        <f t="shared" si="77"/>
        <v>56.000002</v>
      </c>
      <c r="G436" s="837">
        <v>5.0489999999999995</v>
      </c>
      <c r="H436" s="837">
        <v>8</v>
      </c>
      <c r="I436" s="837">
        <v>42.951002</v>
      </c>
      <c r="J436" s="838">
        <v>2564.8</v>
      </c>
      <c r="K436" s="837">
        <v>42.951002</v>
      </c>
      <c r="L436" s="839">
        <v>2564.8</v>
      </c>
      <c r="M436" s="721">
        <f t="shared" si="76"/>
        <v>0.016746335776668744</v>
      </c>
      <c r="N436" s="720">
        <v>307.816</v>
      </c>
      <c r="O436" s="723">
        <f t="shared" si="78"/>
        <v>5.154790093431066</v>
      </c>
      <c r="P436" s="723">
        <f t="shared" si="79"/>
        <v>1004.7801466001247</v>
      </c>
      <c r="Q436" s="722">
        <f t="shared" si="80"/>
        <v>309.28740560586397</v>
      </c>
      <c r="S436" s="88"/>
      <c r="T436" s="88"/>
    </row>
    <row r="437" spans="1:20" s="92" customFormat="1" ht="12.75" customHeight="1">
      <c r="A437" s="972"/>
      <c r="B437" s="755">
        <v>4</v>
      </c>
      <c r="C437" s="854" t="s">
        <v>207</v>
      </c>
      <c r="D437" s="848">
        <v>25</v>
      </c>
      <c r="E437" s="836">
        <v>1993</v>
      </c>
      <c r="F437" s="711">
        <f t="shared" si="77"/>
        <v>30.500002000000002</v>
      </c>
      <c r="G437" s="837">
        <v>3.7230000000000003</v>
      </c>
      <c r="H437" s="837">
        <v>4</v>
      </c>
      <c r="I437" s="837">
        <v>22.777002000000003</v>
      </c>
      <c r="J437" s="838">
        <v>1334.51</v>
      </c>
      <c r="K437" s="837">
        <v>22.777002000000003</v>
      </c>
      <c r="L437" s="839">
        <v>1334.51</v>
      </c>
      <c r="M437" s="721">
        <f t="shared" si="76"/>
        <v>0.017067689264224323</v>
      </c>
      <c r="N437" s="720">
        <v>307.816</v>
      </c>
      <c r="O437" s="723">
        <f t="shared" si="78"/>
        <v>5.2537078385564735</v>
      </c>
      <c r="P437" s="723">
        <f t="shared" si="79"/>
        <v>1024.0613558534594</v>
      </c>
      <c r="Q437" s="722">
        <f t="shared" si="80"/>
        <v>315.22247031338844</v>
      </c>
      <c r="S437" s="88"/>
      <c r="T437" s="88"/>
    </row>
    <row r="438" spans="1:20" s="92" customFormat="1" ht="12.75" customHeight="1">
      <c r="A438" s="972"/>
      <c r="B438" s="755">
        <v>5</v>
      </c>
      <c r="C438" s="854" t="s">
        <v>430</v>
      </c>
      <c r="D438" s="848">
        <v>59</v>
      </c>
      <c r="E438" s="836">
        <v>1991</v>
      </c>
      <c r="F438" s="711">
        <f t="shared" si="77"/>
        <v>58.295001</v>
      </c>
      <c r="G438" s="837">
        <v>4.429452</v>
      </c>
      <c r="H438" s="837">
        <v>9.6</v>
      </c>
      <c r="I438" s="837">
        <v>44.265549</v>
      </c>
      <c r="J438" s="838">
        <v>2442.55</v>
      </c>
      <c r="K438" s="837">
        <v>44.265549</v>
      </c>
      <c r="L438" s="839">
        <v>2442.55</v>
      </c>
      <c r="M438" s="721">
        <f t="shared" si="76"/>
        <v>0.018122678757855518</v>
      </c>
      <c r="N438" s="720">
        <v>307.816</v>
      </c>
      <c r="O438" s="723">
        <f t="shared" si="78"/>
        <v>5.578450484528053</v>
      </c>
      <c r="P438" s="723">
        <f t="shared" si="79"/>
        <v>1087.360725471331</v>
      </c>
      <c r="Q438" s="722">
        <f t="shared" si="80"/>
        <v>334.7070290716832</v>
      </c>
      <c r="S438" s="88"/>
      <c r="T438" s="88"/>
    </row>
    <row r="439" spans="1:20" s="92" customFormat="1" ht="12.75" customHeight="1">
      <c r="A439" s="972"/>
      <c r="B439" s="755">
        <v>6</v>
      </c>
      <c r="C439" s="854" t="s">
        <v>650</v>
      </c>
      <c r="D439" s="848">
        <v>39</v>
      </c>
      <c r="E439" s="836">
        <v>1990</v>
      </c>
      <c r="F439" s="711">
        <f t="shared" si="77"/>
        <v>53.183001</v>
      </c>
      <c r="G439" s="837">
        <v>5.712000000000001</v>
      </c>
      <c r="H439" s="837">
        <v>6.4</v>
      </c>
      <c r="I439" s="837">
        <v>41.071000999999995</v>
      </c>
      <c r="J439" s="838">
        <v>2231</v>
      </c>
      <c r="K439" s="837">
        <v>41.071000999999995</v>
      </c>
      <c r="L439" s="839">
        <v>2231</v>
      </c>
      <c r="M439" s="721">
        <f t="shared" si="76"/>
        <v>0.018409233975795605</v>
      </c>
      <c r="N439" s="720">
        <v>307.816</v>
      </c>
      <c r="O439" s="723">
        <f t="shared" si="78"/>
        <v>5.666656765493499</v>
      </c>
      <c r="P439" s="723">
        <f t="shared" si="79"/>
        <v>1104.5540385477364</v>
      </c>
      <c r="Q439" s="722">
        <f t="shared" si="80"/>
        <v>339.99940592960996</v>
      </c>
      <c r="S439" s="88"/>
      <c r="T439" s="88"/>
    </row>
    <row r="440" spans="1:20" s="92" customFormat="1" ht="12.75" customHeight="1">
      <c r="A440" s="972"/>
      <c r="B440" s="755">
        <v>7</v>
      </c>
      <c r="C440" s="854" t="s">
        <v>431</v>
      </c>
      <c r="D440" s="848">
        <v>30</v>
      </c>
      <c r="E440" s="836">
        <v>1974</v>
      </c>
      <c r="F440" s="711">
        <f t="shared" si="77"/>
        <v>40.332999</v>
      </c>
      <c r="G440" s="837">
        <v>3.111</v>
      </c>
      <c r="H440" s="837">
        <v>4.8</v>
      </c>
      <c r="I440" s="837">
        <v>32.421999</v>
      </c>
      <c r="J440" s="838">
        <v>1748.57</v>
      </c>
      <c r="K440" s="837">
        <v>32.421999</v>
      </c>
      <c r="L440" s="839">
        <v>1748.57</v>
      </c>
      <c r="M440" s="721">
        <f t="shared" si="76"/>
        <v>0.018542008040856244</v>
      </c>
      <c r="N440" s="720">
        <v>307.816</v>
      </c>
      <c r="O440" s="723">
        <f t="shared" si="78"/>
        <v>5.707526747104205</v>
      </c>
      <c r="P440" s="723">
        <f t="shared" si="79"/>
        <v>1112.5204824513746</v>
      </c>
      <c r="Q440" s="722">
        <f t="shared" si="80"/>
        <v>342.4516048262523</v>
      </c>
      <c r="S440" s="88"/>
      <c r="T440" s="88"/>
    </row>
    <row r="441" spans="1:20" s="92" customFormat="1" ht="12.75" customHeight="1">
      <c r="A441" s="972"/>
      <c r="B441" s="755">
        <v>8</v>
      </c>
      <c r="C441" s="854" t="s">
        <v>347</v>
      </c>
      <c r="D441" s="855">
        <v>51</v>
      </c>
      <c r="E441" s="836">
        <v>1972</v>
      </c>
      <c r="F441" s="711">
        <f t="shared" si="77"/>
        <v>62.227000000000004</v>
      </c>
      <c r="G441" s="837">
        <v>5.8395</v>
      </c>
      <c r="H441" s="837">
        <v>8</v>
      </c>
      <c r="I441" s="837">
        <v>48.3875</v>
      </c>
      <c r="J441" s="838">
        <v>2608.15</v>
      </c>
      <c r="K441" s="837">
        <v>48.3875</v>
      </c>
      <c r="L441" s="839">
        <v>2608.15</v>
      </c>
      <c r="M441" s="721">
        <f t="shared" si="76"/>
        <v>0.018552422214979967</v>
      </c>
      <c r="N441" s="720">
        <v>307.816</v>
      </c>
      <c r="O441" s="723">
        <f t="shared" si="78"/>
        <v>5.710732396526273</v>
      </c>
      <c r="P441" s="723">
        <f t="shared" si="79"/>
        <v>1113.145332898798</v>
      </c>
      <c r="Q441" s="722">
        <f t="shared" si="80"/>
        <v>342.64394379157636</v>
      </c>
      <c r="S441" s="88"/>
      <c r="T441" s="88"/>
    </row>
    <row r="442" spans="1:20" s="92" customFormat="1" ht="13.5" customHeight="1">
      <c r="A442" s="972"/>
      <c r="B442" s="755">
        <v>9</v>
      </c>
      <c r="C442" s="854" t="s">
        <v>651</v>
      </c>
      <c r="D442" s="848">
        <v>50</v>
      </c>
      <c r="E442" s="836">
        <v>1973</v>
      </c>
      <c r="F442" s="711">
        <f t="shared" si="77"/>
        <v>61.806003000000004</v>
      </c>
      <c r="G442" s="837">
        <v>6.2475000000000005</v>
      </c>
      <c r="H442" s="837">
        <v>8</v>
      </c>
      <c r="I442" s="837">
        <v>47.558503</v>
      </c>
      <c r="J442" s="838">
        <v>2557.44</v>
      </c>
      <c r="K442" s="837">
        <v>47.558503</v>
      </c>
      <c r="L442" s="839">
        <v>2557.44</v>
      </c>
      <c r="M442" s="721">
        <f t="shared" si="76"/>
        <v>0.018596136370745746</v>
      </c>
      <c r="N442" s="720">
        <v>307.816</v>
      </c>
      <c r="O442" s="723">
        <f t="shared" si="78"/>
        <v>5.724188313097472</v>
      </c>
      <c r="P442" s="723">
        <f t="shared" si="79"/>
        <v>1115.7681822447448</v>
      </c>
      <c r="Q442" s="722">
        <f t="shared" si="80"/>
        <v>343.4512987858484</v>
      </c>
      <c r="S442" s="88"/>
      <c r="T442" s="88"/>
    </row>
    <row r="443" spans="1:20" s="92" customFormat="1" ht="12.75" customHeight="1" thickBot="1">
      <c r="A443" s="973"/>
      <c r="B443" s="840">
        <v>10</v>
      </c>
      <c r="C443" s="862" t="s">
        <v>652</v>
      </c>
      <c r="D443" s="856">
        <v>29</v>
      </c>
      <c r="E443" s="746">
        <v>1984</v>
      </c>
      <c r="F443" s="747">
        <f t="shared" si="77"/>
        <v>30.772714999999998</v>
      </c>
      <c r="G443" s="841">
        <v>0</v>
      </c>
      <c r="H443" s="841">
        <v>0</v>
      </c>
      <c r="I443" s="841">
        <v>30.772714999999998</v>
      </c>
      <c r="J443" s="842">
        <v>1827.8700000000001</v>
      </c>
      <c r="K443" s="841">
        <v>30.772714999999998</v>
      </c>
      <c r="L443" s="843">
        <v>1654.76</v>
      </c>
      <c r="M443" s="749">
        <f t="shared" si="76"/>
        <v>0.018596482269332106</v>
      </c>
      <c r="N443" s="757">
        <v>307.816</v>
      </c>
      <c r="O443" s="750">
        <f t="shared" si="78"/>
        <v>5.724294786216731</v>
      </c>
      <c r="P443" s="750">
        <f t="shared" si="79"/>
        <v>1115.7889361599264</v>
      </c>
      <c r="Q443" s="751">
        <f t="shared" si="80"/>
        <v>343.4576871730039</v>
      </c>
      <c r="S443" s="88"/>
      <c r="T443" s="88"/>
    </row>
    <row r="444" spans="1:20" s="92" customFormat="1" ht="12.75">
      <c r="A444" s="963" t="s">
        <v>30</v>
      </c>
      <c r="B444" s="104">
        <v>1</v>
      </c>
      <c r="C444" s="853" t="s">
        <v>348</v>
      </c>
      <c r="D444" s="847">
        <v>6</v>
      </c>
      <c r="E444" s="514">
        <v>1957</v>
      </c>
      <c r="F444" s="388">
        <f t="shared" si="77"/>
        <v>9.835920999999999</v>
      </c>
      <c r="G444" s="668">
        <v>0.612</v>
      </c>
      <c r="H444" s="668">
        <v>0.96</v>
      </c>
      <c r="I444" s="668">
        <v>8.263921</v>
      </c>
      <c r="J444" s="669">
        <v>428.79</v>
      </c>
      <c r="K444" s="668">
        <v>8.263921</v>
      </c>
      <c r="L444" s="670">
        <v>324.95</v>
      </c>
      <c r="M444" s="209">
        <f t="shared" si="76"/>
        <v>0.025431361747961224</v>
      </c>
      <c r="N444" s="220">
        <v>307.816</v>
      </c>
      <c r="O444" s="208">
        <f>M444*N444</f>
        <v>7.828180047810432</v>
      </c>
      <c r="P444" s="208">
        <f>M444*60*1000</f>
        <v>1525.8817048776734</v>
      </c>
      <c r="Q444" s="210">
        <f>P444*N444/1000</f>
        <v>469.6908028686259</v>
      </c>
      <c r="S444" s="88"/>
      <c r="T444" s="88"/>
    </row>
    <row r="445" spans="1:20" s="92" customFormat="1" ht="12.75">
      <c r="A445" s="938"/>
      <c r="B445" s="97">
        <v>2</v>
      </c>
      <c r="C445" s="854" t="s">
        <v>653</v>
      </c>
      <c r="D445" s="848">
        <v>23</v>
      </c>
      <c r="E445" s="513">
        <v>1988</v>
      </c>
      <c r="F445" s="222">
        <f t="shared" si="77"/>
        <v>35.104514</v>
      </c>
      <c r="G445" s="593">
        <v>1.581</v>
      </c>
      <c r="H445" s="593">
        <v>3.6</v>
      </c>
      <c r="I445" s="593">
        <v>29.923514</v>
      </c>
      <c r="J445" s="597">
        <v>1213.65</v>
      </c>
      <c r="K445" s="593">
        <v>29.923514</v>
      </c>
      <c r="L445" s="602">
        <v>1176.02</v>
      </c>
      <c r="M445" s="146">
        <f t="shared" si="76"/>
        <v>0.025444732232445026</v>
      </c>
      <c r="N445" s="147">
        <v>307.816</v>
      </c>
      <c r="O445" s="148">
        <f aca="true" t="shared" si="81" ref="O445:O453">M445*N445</f>
        <v>7.832295696862298</v>
      </c>
      <c r="P445" s="148">
        <f aca="true" t="shared" si="82" ref="P445:P453">M445*60*1000</f>
        <v>1526.6839339467015</v>
      </c>
      <c r="Q445" s="149">
        <f aca="true" t="shared" si="83" ref="Q445:Q453">P445*N445/1000</f>
        <v>469.93774181173785</v>
      </c>
      <c r="S445" s="88"/>
      <c r="T445" s="88"/>
    </row>
    <row r="446" spans="1:20" s="92" customFormat="1" ht="12.75" customHeight="1">
      <c r="A446" s="938"/>
      <c r="B446" s="97">
        <v>3</v>
      </c>
      <c r="C446" s="854" t="s">
        <v>351</v>
      </c>
      <c r="D446" s="848">
        <v>33</v>
      </c>
      <c r="E446" s="513">
        <v>1985</v>
      </c>
      <c r="F446" s="222">
        <f t="shared" si="77"/>
        <v>36.277485999999996</v>
      </c>
      <c r="G446" s="593">
        <v>1.5096</v>
      </c>
      <c r="H446" s="593">
        <v>0</v>
      </c>
      <c r="I446" s="593">
        <v>34.767886</v>
      </c>
      <c r="J446" s="597">
        <v>1548.33</v>
      </c>
      <c r="K446" s="593">
        <v>34.767886</v>
      </c>
      <c r="L446" s="602">
        <v>1366.25</v>
      </c>
      <c r="M446" s="146">
        <f t="shared" si="76"/>
        <v>0.025447675022872825</v>
      </c>
      <c r="N446" s="147">
        <v>307.816</v>
      </c>
      <c r="O446" s="148">
        <f t="shared" si="81"/>
        <v>7.8332015348406205</v>
      </c>
      <c r="P446" s="148">
        <f t="shared" si="82"/>
        <v>1526.8605013723695</v>
      </c>
      <c r="Q446" s="149">
        <f t="shared" si="83"/>
        <v>469.99209209043727</v>
      </c>
      <c r="S446" s="88"/>
      <c r="T446" s="88"/>
    </row>
    <row r="447" spans="1:20" s="92" customFormat="1" ht="12.75">
      <c r="A447" s="938"/>
      <c r="B447" s="97">
        <v>4</v>
      </c>
      <c r="C447" s="854" t="s">
        <v>432</v>
      </c>
      <c r="D447" s="848">
        <v>8</v>
      </c>
      <c r="E447" s="513">
        <v>1976</v>
      </c>
      <c r="F447" s="222">
        <f t="shared" si="77"/>
        <v>13.736001</v>
      </c>
      <c r="G447" s="593">
        <v>0.9690000000000001</v>
      </c>
      <c r="H447" s="593">
        <v>0.08</v>
      </c>
      <c r="I447" s="593">
        <v>12.687001</v>
      </c>
      <c r="J447" s="597">
        <v>486.54</v>
      </c>
      <c r="K447" s="593">
        <v>12.687001</v>
      </c>
      <c r="L447" s="602">
        <v>486.54</v>
      </c>
      <c r="M447" s="146">
        <f t="shared" si="76"/>
        <v>0.026075967032515312</v>
      </c>
      <c r="N447" s="147">
        <v>307.816</v>
      </c>
      <c r="O447" s="148">
        <f t="shared" si="81"/>
        <v>8.026599868080732</v>
      </c>
      <c r="P447" s="148">
        <f t="shared" si="82"/>
        <v>1564.5580219509188</v>
      </c>
      <c r="Q447" s="149">
        <f t="shared" si="83"/>
        <v>481.595992084844</v>
      </c>
      <c r="S447" s="88"/>
      <c r="T447" s="88"/>
    </row>
    <row r="448" spans="1:20" s="92" customFormat="1" ht="12.75">
      <c r="A448" s="938"/>
      <c r="B448" s="97">
        <v>5</v>
      </c>
      <c r="C448" s="854" t="s">
        <v>219</v>
      </c>
      <c r="D448" s="848">
        <v>8</v>
      </c>
      <c r="E448" s="513">
        <v>1972</v>
      </c>
      <c r="F448" s="222">
        <f t="shared" si="77"/>
        <v>12.713997999999998</v>
      </c>
      <c r="G448" s="593">
        <v>0.51</v>
      </c>
      <c r="H448" s="593">
        <v>0.67</v>
      </c>
      <c r="I448" s="593">
        <v>11.533997999999999</v>
      </c>
      <c r="J448" s="597">
        <v>440.39</v>
      </c>
      <c r="K448" s="593">
        <v>11.533997999999999</v>
      </c>
      <c r="L448" s="602">
        <v>440.39</v>
      </c>
      <c r="M448" s="146">
        <f t="shared" si="76"/>
        <v>0.026190417584413813</v>
      </c>
      <c r="N448" s="147">
        <v>307.816</v>
      </c>
      <c r="O448" s="148">
        <f t="shared" si="81"/>
        <v>8.061829579163922</v>
      </c>
      <c r="P448" s="148">
        <f t="shared" si="82"/>
        <v>1571.4250550648287</v>
      </c>
      <c r="Q448" s="149">
        <f t="shared" si="83"/>
        <v>483.7097747498353</v>
      </c>
      <c r="S448" s="88"/>
      <c r="T448" s="88"/>
    </row>
    <row r="449" spans="1:20" s="92" customFormat="1" ht="12.75">
      <c r="A449" s="938"/>
      <c r="B449" s="97">
        <v>6</v>
      </c>
      <c r="C449" s="854" t="s">
        <v>217</v>
      </c>
      <c r="D449" s="848">
        <v>19</v>
      </c>
      <c r="E449" s="513">
        <v>1980</v>
      </c>
      <c r="F449" s="222">
        <f t="shared" si="77"/>
        <v>29.647486</v>
      </c>
      <c r="G449" s="593">
        <v>1.071</v>
      </c>
      <c r="H449" s="593">
        <v>3.04</v>
      </c>
      <c r="I449" s="593">
        <v>25.536486</v>
      </c>
      <c r="J449" s="597">
        <v>1049.46</v>
      </c>
      <c r="K449" s="593">
        <v>25.536486</v>
      </c>
      <c r="L449" s="602">
        <v>972.23</v>
      </c>
      <c r="M449" s="146">
        <f t="shared" si="76"/>
        <v>0.026265889758596218</v>
      </c>
      <c r="N449" s="147">
        <v>307.816</v>
      </c>
      <c r="O449" s="148">
        <f t="shared" si="81"/>
        <v>8.085061121932053</v>
      </c>
      <c r="P449" s="148">
        <f t="shared" si="82"/>
        <v>1575.953385515773</v>
      </c>
      <c r="Q449" s="149">
        <f t="shared" si="83"/>
        <v>485.1036673159232</v>
      </c>
      <c r="S449" s="88"/>
      <c r="T449" s="88"/>
    </row>
    <row r="450" spans="1:20" s="92" customFormat="1" ht="12.75">
      <c r="A450" s="938"/>
      <c r="B450" s="97">
        <v>7</v>
      </c>
      <c r="C450" s="854" t="s">
        <v>654</v>
      </c>
      <c r="D450" s="848">
        <v>52</v>
      </c>
      <c r="E450" s="513">
        <v>1978</v>
      </c>
      <c r="F450" s="222">
        <f t="shared" si="77"/>
        <v>51.520362999999996</v>
      </c>
      <c r="G450" s="593">
        <v>3.897675</v>
      </c>
      <c r="H450" s="593">
        <v>0</v>
      </c>
      <c r="I450" s="593">
        <v>47.622688</v>
      </c>
      <c r="J450" s="597">
        <v>1875.49</v>
      </c>
      <c r="K450" s="593">
        <v>47.622688</v>
      </c>
      <c r="L450" s="602">
        <v>1789.42</v>
      </c>
      <c r="M450" s="146">
        <f t="shared" si="76"/>
        <v>0.026613476992545067</v>
      </c>
      <c r="N450" s="147">
        <v>307.816</v>
      </c>
      <c r="O450" s="148">
        <f t="shared" si="81"/>
        <v>8.192054033937252</v>
      </c>
      <c r="P450" s="148">
        <f t="shared" si="82"/>
        <v>1596.808619552704</v>
      </c>
      <c r="Q450" s="149">
        <f t="shared" si="83"/>
        <v>491.52324203623505</v>
      </c>
      <c r="S450" s="88"/>
      <c r="T450" s="88"/>
    </row>
    <row r="451" spans="1:20" s="92" customFormat="1" ht="12.75">
      <c r="A451" s="938"/>
      <c r="B451" s="97">
        <v>8</v>
      </c>
      <c r="C451" s="854" t="s">
        <v>655</v>
      </c>
      <c r="D451" s="848">
        <v>14</v>
      </c>
      <c r="E451" s="513">
        <v>1968</v>
      </c>
      <c r="F451" s="222">
        <f t="shared" si="77"/>
        <v>13.734769</v>
      </c>
      <c r="G451" s="593">
        <v>0</v>
      </c>
      <c r="H451" s="593">
        <v>0</v>
      </c>
      <c r="I451" s="593">
        <v>13.734769</v>
      </c>
      <c r="J451" s="597">
        <v>1020.08</v>
      </c>
      <c r="K451" s="593">
        <v>13.734769</v>
      </c>
      <c r="L451" s="602">
        <v>514.91</v>
      </c>
      <c r="M451" s="146">
        <f t="shared" si="76"/>
        <v>0.02667411586490843</v>
      </c>
      <c r="N451" s="147">
        <v>307.816</v>
      </c>
      <c r="O451" s="148">
        <f t="shared" si="81"/>
        <v>8.210719649072653</v>
      </c>
      <c r="P451" s="148">
        <f t="shared" si="82"/>
        <v>1600.446951894506</v>
      </c>
      <c r="Q451" s="149">
        <f t="shared" si="83"/>
        <v>492.6431789443592</v>
      </c>
      <c r="S451" s="88"/>
      <c r="T451" s="88"/>
    </row>
    <row r="452" spans="1:20" s="92" customFormat="1" ht="12.75">
      <c r="A452" s="938"/>
      <c r="B452" s="97">
        <v>9</v>
      </c>
      <c r="C452" s="854" t="s">
        <v>656</v>
      </c>
      <c r="D452" s="848">
        <v>4</v>
      </c>
      <c r="E452" s="513">
        <v>1955</v>
      </c>
      <c r="F452" s="222">
        <f t="shared" si="77"/>
        <v>7.235150000000001</v>
      </c>
      <c r="G452" s="593">
        <v>0.255</v>
      </c>
      <c r="H452" s="593">
        <v>0.64</v>
      </c>
      <c r="I452" s="593">
        <v>6.34015</v>
      </c>
      <c r="J452" s="597">
        <v>294.16</v>
      </c>
      <c r="K452" s="593">
        <v>6.34015</v>
      </c>
      <c r="L452" s="602">
        <v>232.43</v>
      </c>
      <c r="M452" s="146">
        <f t="shared" si="76"/>
        <v>0.027277674998924407</v>
      </c>
      <c r="N452" s="147">
        <v>307.816</v>
      </c>
      <c r="O452" s="148">
        <f t="shared" si="81"/>
        <v>8.396504807468915</v>
      </c>
      <c r="P452" s="148">
        <f t="shared" si="82"/>
        <v>1636.6604999354643</v>
      </c>
      <c r="Q452" s="149">
        <f t="shared" si="83"/>
        <v>503.79028844813485</v>
      </c>
      <c r="S452" s="88"/>
      <c r="T452" s="88"/>
    </row>
    <row r="453" spans="1:20" s="92" customFormat="1" ht="13.5" thickBot="1">
      <c r="A453" s="940"/>
      <c r="B453" s="234">
        <v>10</v>
      </c>
      <c r="C453" s="862" t="s">
        <v>433</v>
      </c>
      <c r="D453" s="857">
        <v>14</v>
      </c>
      <c r="E453" s="671">
        <v>1960</v>
      </c>
      <c r="F453" s="312">
        <f t="shared" si="77"/>
        <v>17.592775000000003</v>
      </c>
      <c r="G453" s="672">
        <v>1.012452</v>
      </c>
      <c r="H453" s="672">
        <v>2.24</v>
      </c>
      <c r="I453" s="672">
        <v>14.340323000000001</v>
      </c>
      <c r="J453" s="673">
        <v>913.0600000000001</v>
      </c>
      <c r="K453" s="672">
        <v>14.340323000000001</v>
      </c>
      <c r="L453" s="674">
        <v>518.33</v>
      </c>
      <c r="M453" s="211">
        <f t="shared" si="76"/>
        <v>0.027666395925375727</v>
      </c>
      <c r="N453" s="221">
        <v>307.816</v>
      </c>
      <c r="O453" s="212">
        <f t="shared" si="81"/>
        <v>8.516159328165454</v>
      </c>
      <c r="P453" s="212">
        <f t="shared" si="82"/>
        <v>1659.9837555225436</v>
      </c>
      <c r="Q453" s="213">
        <f t="shared" si="83"/>
        <v>510.9695596899272</v>
      </c>
      <c r="S453" s="88"/>
      <c r="T453" s="88"/>
    </row>
    <row r="454" spans="1:20" s="92" customFormat="1" ht="12.75">
      <c r="A454" s="974" t="s">
        <v>12</v>
      </c>
      <c r="B454" s="182">
        <v>1</v>
      </c>
      <c r="C454" s="863" t="s">
        <v>218</v>
      </c>
      <c r="D454" s="858">
        <v>48</v>
      </c>
      <c r="E454" s="515">
        <v>1964</v>
      </c>
      <c r="F454" s="389">
        <f t="shared" si="77"/>
        <v>29.606709000000002</v>
      </c>
      <c r="G454" s="595">
        <v>5.014575</v>
      </c>
      <c r="H454" s="595">
        <v>0</v>
      </c>
      <c r="I454" s="595">
        <v>24.592134</v>
      </c>
      <c r="J454" s="599">
        <v>1215.63</v>
      </c>
      <c r="K454" s="595">
        <v>24.592134</v>
      </c>
      <c r="L454" s="604">
        <v>863.98</v>
      </c>
      <c r="M454" s="170">
        <f t="shared" si="76"/>
        <v>0.028463776939281003</v>
      </c>
      <c r="N454" s="168">
        <v>307.816</v>
      </c>
      <c r="O454" s="171">
        <f>M454*N454</f>
        <v>8.76160596234172</v>
      </c>
      <c r="P454" s="171">
        <f>M454*60*1000</f>
        <v>1707.8266163568603</v>
      </c>
      <c r="Q454" s="172">
        <f>P454*N454/1000</f>
        <v>525.6963577405032</v>
      </c>
      <c r="S454" s="88"/>
      <c r="T454" s="88"/>
    </row>
    <row r="455" spans="1:20" s="92" customFormat="1" ht="12.75">
      <c r="A455" s="975"/>
      <c r="B455" s="106">
        <v>2</v>
      </c>
      <c r="C455" s="864" t="s">
        <v>349</v>
      </c>
      <c r="D455" s="859">
        <v>24</v>
      </c>
      <c r="E455" s="491">
        <v>1962</v>
      </c>
      <c r="F455" s="218">
        <f t="shared" si="77"/>
        <v>34.044999</v>
      </c>
      <c r="G455" s="594">
        <v>1.53</v>
      </c>
      <c r="H455" s="594">
        <v>0</v>
      </c>
      <c r="I455" s="594">
        <v>32.514998999999996</v>
      </c>
      <c r="J455" s="598">
        <v>1108.08</v>
      </c>
      <c r="K455" s="594">
        <v>32.514998999999996</v>
      </c>
      <c r="L455" s="603">
        <v>1108.08</v>
      </c>
      <c r="M455" s="150">
        <f t="shared" si="76"/>
        <v>0.029343548299761747</v>
      </c>
      <c r="N455" s="151">
        <v>307.816</v>
      </c>
      <c r="O455" s="152">
        <f aca="true" t="shared" si="84" ref="O455:O463">M455*N455</f>
        <v>9.032413663439462</v>
      </c>
      <c r="P455" s="152">
        <f aca="true" t="shared" si="85" ref="P455:P463">M455*60*1000</f>
        <v>1760.6128979857046</v>
      </c>
      <c r="Q455" s="153">
        <f aca="true" t="shared" si="86" ref="Q455:Q463">P455*N455/1000</f>
        <v>541.9448198063676</v>
      </c>
      <c r="S455" s="88"/>
      <c r="T455" s="88"/>
    </row>
    <row r="456" spans="1:20" s="92" customFormat="1" ht="12.75">
      <c r="A456" s="975"/>
      <c r="B456" s="106">
        <v>3</v>
      </c>
      <c r="C456" s="864" t="s">
        <v>221</v>
      </c>
      <c r="D456" s="859">
        <v>17</v>
      </c>
      <c r="E456" s="491">
        <v>1983</v>
      </c>
      <c r="F456" s="218">
        <f t="shared" si="77"/>
        <v>39.182001</v>
      </c>
      <c r="G456" s="594">
        <v>2.170356</v>
      </c>
      <c r="H456" s="594">
        <v>2.88</v>
      </c>
      <c r="I456" s="594">
        <v>34.131645</v>
      </c>
      <c r="J456" s="598">
        <v>1153.81</v>
      </c>
      <c r="K456" s="594">
        <v>34.131645</v>
      </c>
      <c r="L456" s="603">
        <v>1153.81</v>
      </c>
      <c r="M456" s="150">
        <f t="shared" si="76"/>
        <v>0.029581685892824644</v>
      </c>
      <c r="N456" s="151">
        <v>307.816</v>
      </c>
      <c r="O456" s="152">
        <f t="shared" si="84"/>
        <v>9.10571622478571</v>
      </c>
      <c r="P456" s="152">
        <f t="shared" si="85"/>
        <v>1774.9011535694788</v>
      </c>
      <c r="Q456" s="153">
        <f t="shared" si="86"/>
        <v>546.3429734871426</v>
      </c>
      <c r="S456" s="88"/>
      <c r="T456" s="88"/>
    </row>
    <row r="457" spans="1:20" s="92" customFormat="1" ht="12.75">
      <c r="A457" s="975"/>
      <c r="B457" s="106">
        <v>4</v>
      </c>
      <c r="C457" s="864" t="s">
        <v>350</v>
      </c>
      <c r="D457" s="859">
        <v>18</v>
      </c>
      <c r="E457" s="491">
        <v>1989</v>
      </c>
      <c r="F457" s="218">
        <f t="shared" si="77"/>
        <v>29.520999000000003</v>
      </c>
      <c r="G457" s="594">
        <v>1.02</v>
      </c>
      <c r="H457" s="594">
        <v>0</v>
      </c>
      <c r="I457" s="594">
        <v>28.500999000000004</v>
      </c>
      <c r="J457" s="598">
        <v>937.87</v>
      </c>
      <c r="K457" s="594">
        <v>28.500999000000004</v>
      </c>
      <c r="L457" s="603">
        <v>937.87</v>
      </c>
      <c r="M457" s="150">
        <f t="shared" si="76"/>
        <v>0.030389072046232424</v>
      </c>
      <c r="N457" s="151">
        <v>307.816</v>
      </c>
      <c r="O457" s="152">
        <f t="shared" si="84"/>
        <v>9.35424260098308</v>
      </c>
      <c r="P457" s="152">
        <f t="shared" si="85"/>
        <v>1823.3443227739454</v>
      </c>
      <c r="Q457" s="153">
        <f t="shared" si="86"/>
        <v>561.2545560589847</v>
      </c>
      <c r="S457" s="88"/>
      <c r="T457" s="88"/>
    </row>
    <row r="458" spans="1:20" s="92" customFormat="1" ht="12.75" customHeight="1">
      <c r="A458" s="975"/>
      <c r="B458" s="106">
        <v>5</v>
      </c>
      <c r="C458" s="864" t="s">
        <v>220</v>
      </c>
      <c r="D458" s="859">
        <v>12</v>
      </c>
      <c r="E458" s="491">
        <v>1968</v>
      </c>
      <c r="F458" s="218">
        <f t="shared" si="77"/>
        <v>18.6514</v>
      </c>
      <c r="G458" s="594">
        <v>0.51</v>
      </c>
      <c r="H458" s="594">
        <v>0.12</v>
      </c>
      <c r="I458" s="594">
        <v>18.0214</v>
      </c>
      <c r="J458" s="598">
        <v>536.53</v>
      </c>
      <c r="K458" s="594">
        <v>18.0214</v>
      </c>
      <c r="L458" s="603">
        <v>536.53</v>
      </c>
      <c r="M458" s="150">
        <f t="shared" si="76"/>
        <v>0.03358880211730938</v>
      </c>
      <c r="N458" s="151">
        <v>307.816</v>
      </c>
      <c r="O458" s="152">
        <f t="shared" si="84"/>
        <v>10.339170712541703</v>
      </c>
      <c r="P458" s="152">
        <f t="shared" si="85"/>
        <v>2015.3281270385626</v>
      </c>
      <c r="Q458" s="153">
        <f t="shared" si="86"/>
        <v>620.3502427525021</v>
      </c>
      <c r="S458" s="88"/>
      <c r="T458" s="88"/>
    </row>
    <row r="459" spans="1:20" s="92" customFormat="1" ht="12.75">
      <c r="A459" s="975"/>
      <c r="B459" s="106">
        <v>6</v>
      </c>
      <c r="C459" s="864" t="s">
        <v>657</v>
      </c>
      <c r="D459" s="859">
        <v>15</v>
      </c>
      <c r="E459" s="491">
        <v>1970</v>
      </c>
      <c r="F459" s="218">
        <f t="shared" si="77"/>
        <v>37</v>
      </c>
      <c r="G459" s="594">
        <v>0</v>
      </c>
      <c r="H459" s="594">
        <v>0</v>
      </c>
      <c r="I459" s="594">
        <v>37</v>
      </c>
      <c r="J459" s="598">
        <v>1088</v>
      </c>
      <c r="K459" s="594">
        <v>37</v>
      </c>
      <c r="L459" s="603">
        <v>1088</v>
      </c>
      <c r="M459" s="150">
        <f t="shared" si="76"/>
        <v>0.03400735294117647</v>
      </c>
      <c r="N459" s="151">
        <v>307.816</v>
      </c>
      <c r="O459" s="152">
        <f t="shared" si="84"/>
        <v>10.468007352941175</v>
      </c>
      <c r="P459" s="152">
        <f t="shared" si="85"/>
        <v>2040.4411764705878</v>
      </c>
      <c r="Q459" s="153">
        <f t="shared" si="86"/>
        <v>628.0804411764703</v>
      </c>
      <c r="S459" s="88"/>
      <c r="T459" s="88"/>
    </row>
    <row r="460" spans="1:20" s="92" customFormat="1" ht="12.75" customHeight="1">
      <c r="A460" s="975"/>
      <c r="B460" s="106">
        <v>7</v>
      </c>
      <c r="C460" s="864" t="s">
        <v>352</v>
      </c>
      <c r="D460" s="860">
        <v>11</v>
      </c>
      <c r="E460" s="491">
        <v>1976</v>
      </c>
      <c r="F460" s="218">
        <f t="shared" si="77"/>
        <v>17.160963</v>
      </c>
      <c r="G460" s="594">
        <v>0</v>
      </c>
      <c r="H460" s="594">
        <v>0</v>
      </c>
      <c r="I460" s="594">
        <v>17.160963</v>
      </c>
      <c r="J460" s="598">
        <v>543.66</v>
      </c>
      <c r="K460" s="594">
        <v>17.160963</v>
      </c>
      <c r="L460" s="603">
        <v>496.05</v>
      </c>
      <c r="M460" s="150">
        <f t="shared" si="76"/>
        <v>0.03459522830359842</v>
      </c>
      <c r="N460" s="151">
        <v>307.816</v>
      </c>
      <c r="O460" s="152">
        <f t="shared" si="84"/>
        <v>10.64896479550045</v>
      </c>
      <c r="P460" s="152">
        <f t="shared" si="85"/>
        <v>2075.7136982159054</v>
      </c>
      <c r="Q460" s="153">
        <f t="shared" si="86"/>
        <v>638.9378877300271</v>
      </c>
      <c r="S460" s="88"/>
      <c r="T460" s="88"/>
    </row>
    <row r="461" spans="1:20" s="92" customFormat="1" ht="12.75" customHeight="1">
      <c r="A461" s="975"/>
      <c r="B461" s="106">
        <v>8</v>
      </c>
      <c r="C461" s="864" t="s">
        <v>658</v>
      </c>
      <c r="D461" s="858">
        <v>6</v>
      </c>
      <c r="E461" s="491">
        <v>1968</v>
      </c>
      <c r="F461" s="218">
        <f t="shared" si="77"/>
        <v>9.643999</v>
      </c>
      <c r="G461" s="594">
        <v>0</v>
      </c>
      <c r="H461" s="594">
        <v>0</v>
      </c>
      <c r="I461" s="594">
        <v>9.643999</v>
      </c>
      <c r="J461" s="598">
        <v>252.14000000000001</v>
      </c>
      <c r="K461" s="594">
        <v>9.643999</v>
      </c>
      <c r="L461" s="603">
        <v>252.14000000000001</v>
      </c>
      <c r="M461" s="150">
        <f t="shared" si="76"/>
        <v>0.03824858808598398</v>
      </c>
      <c r="N461" s="151">
        <v>307.816</v>
      </c>
      <c r="O461" s="152">
        <f t="shared" si="84"/>
        <v>11.773527390275243</v>
      </c>
      <c r="P461" s="152">
        <f t="shared" si="85"/>
        <v>2294.915285159039</v>
      </c>
      <c r="Q461" s="153">
        <f t="shared" si="86"/>
        <v>706.4116434165146</v>
      </c>
      <c r="S461" s="88"/>
      <c r="T461" s="88"/>
    </row>
    <row r="462" spans="1:20" s="92" customFormat="1" ht="12.75" customHeight="1">
      <c r="A462" s="975"/>
      <c r="B462" s="106">
        <v>9</v>
      </c>
      <c r="C462" s="864" t="s">
        <v>434</v>
      </c>
      <c r="D462" s="859">
        <v>6</v>
      </c>
      <c r="E462" s="491">
        <v>1961</v>
      </c>
      <c r="F462" s="218">
        <f t="shared" si="77"/>
        <v>15.110999999999999</v>
      </c>
      <c r="G462" s="594">
        <v>0</v>
      </c>
      <c r="H462" s="594">
        <v>0</v>
      </c>
      <c r="I462" s="594">
        <v>15.110999999999999</v>
      </c>
      <c r="J462" s="598">
        <v>362.24</v>
      </c>
      <c r="K462" s="594">
        <v>15.110999999999999</v>
      </c>
      <c r="L462" s="603">
        <v>362.24</v>
      </c>
      <c r="M462" s="150">
        <f t="shared" si="76"/>
        <v>0.04171543727915194</v>
      </c>
      <c r="N462" s="151">
        <v>307.816</v>
      </c>
      <c r="O462" s="152">
        <f t="shared" si="84"/>
        <v>12.840679041519433</v>
      </c>
      <c r="P462" s="152">
        <f t="shared" si="85"/>
        <v>2502.9262367491165</v>
      </c>
      <c r="Q462" s="153">
        <f t="shared" si="86"/>
        <v>770.440742491166</v>
      </c>
      <c r="S462" s="88"/>
      <c r="T462" s="88"/>
    </row>
    <row r="463" spans="1:20" s="92" customFormat="1" ht="12.75" customHeight="1" thickBot="1">
      <c r="A463" s="976"/>
      <c r="B463" s="107">
        <v>10</v>
      </c>
      <c r="C463" s="865" t="s">
        <v>353</v>
      </c>
      <c r="D463" s="861">
        <v>5</v>
      </c>
      <c r="E463" s="675">
        <v>1961</v>
      </c>
      <c r="F463" s="251">
        <f t="shared" si="77"/>
        <v>10.170241</v>
      </c>
      <c r="G463" s="676">
        <v>0</v>
      </c>
      <c r="H463" s="676">
        <v>0</v>
      </c>
      <c r="I463" s="676">
        <v>10.170241</v>
      </c>
      <c r="J463" s="677">
        <v>362.23</v>
      </c>
      <c r="K463" s="676">
        <v>10.170241</v>
      </c>
      <c r="L463" s="678">
        <v>223.64000000000001</v>
      </c>
      <c r="M463" s="154">
        <f t="shared" si="76"/>
        <v>0.04547594795206582</v>
      </c>
      <c r="N463" s="155">
        <v>307.816</v>
      </c>
      <c r="O463" s="156">
        <f t="shared" si="84"/>
        <v>13.998224394813091</v>
      </c>
      <c r="P463" s="156">
        <f t="shared" si="85"/>
        <v>2728.556877123949</v>
      </c>
      <c r="Q463" s="157">
        <f t="shared" si="86"/>
        <v>839.8934636887855</v>
      </c>
      <c r="S463" s="88"/>
      <c r="T463" s="88"/>
    </row>
    <row r="464" spans="19:20" ht="12.75">
      <c r="S464" s="88"/>
      <c r="T464" s="88"/>
    </row>
    <row r="465" spans="19:20" ht="12.75">
      <c r="S465" s="88"/>
      <c r="T465" s="88"/>
    </row>
    <row r="466" spans="1:20" ht="15">
      <c r="A466" s="967" t="s">
        <v>62</v>
      </c>
      <c r="B466" s="967"/>
      <c r="C466" s="967"/>
      <c r="D466" s="967"/>
      <c r="E466" s="967"/>
      <c r="F466" s="967"/>
      <c r="G466" s="967"/>
      <c r="H466" s="967"/>
      <c r="I466" s="967"/>
      <c r="J466" s="967"/>
      <c r="K466" s="967"/>
      <c r="L466" s="967"/>
      <c r="M466" s="967"/>
      <c r="N466" s="967"/>
      <c r="O466" s="967"/>
      <c r="P466" s="967"/>
      <c r="Q466" s="967"/>
      <c r="S466" s="88"/>
      <c r="T466" s="88"/>
    </row>
    <row r="467" spans="1:20" ht="13.5" thickBot="1">
      <c r="A467" s="968" t="s">
        <v>659</v>
      </c>
      <c r="B467" s="968"/>
      <c r="C467" s="968"/>
      <c r="D467" s="968"/>
      <c r="E467" s="968"/>
      <c r="F467" s="968"/>
      <c r="G467" s="968"/>
      <c r="H467" s="968"/>
      <c r="I467" s="968"/>
      <c r="J467" s="968"/>
      <c r="K467" s="968"/>
      <c r="L467" s="968"/>
      <c r="M467" s="968"/>
      <c r="N467" s="968"/>
      <c r="O467" s="968"/>
      <c r="P467" s="968"/>
      <c r="Q467" s="968"/>
      <c r="S467" s="88"/>
      <c r="T467" s="88"/>
    </row>
    <row r="468" spans="1:20" ht="12.75" customHeight="1">
      <c r="A468" s="952" t="s">
        <v>1</v>
      </c>
      <c r="B468" s="955" t="s">
        <v>0</v>
      </c>
      <c r="C468" s="944" t="s">
        <v>2</v>
      </c>
      <c r="D468" s="944" t="s">
        <v>3</v>
      </c>
      <c r="E468" s="944" t="s">
        <v>13</v>
      </c>
      <c r="F468" s="960" t="s">
        <v>14</v>
      </c>
      <c r="G468" s="961"/>
      <c r="H468" s="961"/>
      <c r="I468" s="962"/>
      <c r="J468" s="944" t="s">
        <v>4</v>
      </c>
      <c r="K468" s="944" t="s">
        <v>15</v>
      </c>
      <c r="L468" s="944" t="s">
        <v>5</v>
      </c>
      <c r="M468" s="944" t="s">
        <v>6</v>
      </c>
      <c r="N468" s="944" t="s">
        <v>16</v>
      </c>
      <c r="O468" s="969" t="s">
        <v>17</v>
      </c>
      <c r="P468" s="944" t="s">
        <v>25</v>
      </c>
      <c r="Q468" s="929" t="s">
        <v>26</v>
      </c>
      <c r="S468" s="88"/>
      <c r="T468" s="88"/>
    </row>
    <row r="469" spans="1:20" s="2" customFormat="1" ht="33.75">
      <c r="A469" s="953"/>
      <c r="B469" s="956"/>
      <c r="C469" s="958"/>
      <c r="D469" s="945"/>
      <c r="E469" s="945"/>
      <c r="F469" s="37" t="s">
        <v>18</v>
      </c>
      <c r="G469" s="37" t="s">
        <v>19</v>
      </c>
      <c r="H469" s="37" t="s">
        <v>20</v>
      </c>
      <c r="I469" s="37" t="s">
        <v>21</v>
      </c>
      <c r="J469" s="945"/>
      <c r="K469" s="945"/>
      <c r="L469" s="945"/>
      <c r="M469" s="945"/>
      <c r="N469" s="945"/>
      <c r="O469" s="970"/>
      <c r="P469" s="945"/>
      <c r="Q469" s="930"/>
      <c r="S469" s="88"/>
      <c r="T469" s="88"/>
    </row>
    <row r="470" spans="1:20" s="3" customFormat="1" ht="13.5" customHeight="1" thickBot="1">
      <c r="A470" s="953"/>
      <c r="B470" s="956"/>
      <c r="C470" s="959"/>
      <c r="D470" s="58" t="s">
        <v>7</v>
      </c>
      <c r="E470" s="58" t="s">
        <v>8</v>
      </c>
      <c r="F470" s="58" t="s">
        <v>9</v>
      </c>
      <c r="G470" s="58" t="s">
        <v>9</v>
      </c>
      <c r="H470" s="58" t="s">
        <v>9</v>
      </c>
      <c r="I470" s="58" t="s">
        <v>9</v>
      </c>
      <c r="J470" s="58" t="s">
        <v>22</v>
      </c>
      <c r="K470" s="58" t="s">
        <v>9</v>
      </c>
      <c r="L470" s="58" t="s">
        <v>22</v>
      </c>
      <c r="M470" s="58" t="s">
        <v>134</v>
      </c>
      <c r="N470" s="58" t="s">
        <v>10</v>
      </c>
      <c r="O470" s="58" t="s">
        <v>135</v>
      </c>
      <c r="P470" s="59" t="s">
        <v>27</v>
      </c>
      <c r="Q470" s="60" t="s">
        <v>28</v>
      </c>
      <c r="S470" s="88"/>
      <c r="T470" s="88"/>
    </row>
    <row r="471" spans="1:20" ht="12.75">
      <c r="A471" s="926" t="s">
        <v>11</v>
      </c>
      <c r="B471" s="29">
        <v>1</v>
      </c>
      <c r="C471" s="16" t="s">
        <v>222</v>
      </c>
      <c r="D471" s="30">
        <v>50</v>
      </c>
      <c r="E471" s="30">
        <v>1992</v>
      </c>
      <c r="F471" s="199">
        <f>SUM(G471:I471)</f>
        <v>41.647980000000004</v>
      </c>
      <c r="G471" s="130">
        <v>4.006</v>
      </c>
      <c r="H471" s="130">
        <v>7.84</v>
      </c>
      <c r="I471" s="130">
        <v>29.80198</v>
      </c>
      <c r="J471" s="187">
        <v>2469.68</v>
      </c>
      <c r="K471" s="130">
        <v>29.80198</v>
      </c>
      <c r="L471" s="187">
        <v>2469.68</v>
      </c>
      <c r="M471" s="328">
        <f>K471/L471</f>
        <v>0.012067142301836677</v>
      </c>
      <c r="N471" s="198">
        <v>279.6</v>
      </c>
      <c r="O471" s="308">
        <f>M471*N471*1.09</f>
        <v>3.6776305564769536</v>
      </c>
      <c r="P471" s="308">
        <f>M471*60*1000</f>
        <v>724.0285381102007</v>
      </c>
      <c r="Q471" s="189">
        <f>O471*60</f>
        <v>220.6578333886172</v>
      </c>
      <c r="R471" s="6"/>
      <c r="S471" s="88"/>
      <c r="T471" s="88"/>
    </row>
    <row r="472" spans="1:20" ht="12.75">
      <c r="A472" s="927"/>
      <c r="B472" s="30">
        <v>2</v>
      </c>
      <c r="C472" s="16"/>
      <c r="D472" s="187"/>
      <c r="E472" s="187"/>
      <c r="F472" s="130"/>
      <c r="G472" s="130"/>
      <c r="H472" s="130"/>
      <c r="I472" s="130"/>
      <c r="J472" s="187"/>
      <c r="K472" s="130"/>
      <c r="L472" s="187"/>
      <c r="M472" s="295"/>
      <c r="N472" s="126"/>
      <c r="O472" s="126"/>
      <c r="P472" s="126"/>
      <c r="Q472" s="296"/>
      <c r="S472" s="88"/>
      <c r="T472" s="88"/>
    </row>
    <row r="473" spans="1:20" ht="12.75">
      <c r="A473" s="927"/>
      <c r="B473" s="30">
        <v>3</v>
      </c>
      <c r="C473" s="16"/>
      <c r="D473" s="187"/>
      <c r="E473" s="187"/>
      <c r="F473" s="130"/>
      <c r="G473" s="130"/>
      <c r="H473" s="130"/>
      <c r="I473" s="130"/>
      <c r="J473" s="187"/>
      <c r="K473" s="130"/>
      <c r="L473" s="187"/>
      <c r="M473" s="295"/>
      <c r="N473" s="126"/>
      <c r="O473" s="126"/>
      <c r="P473" s="126"/>
      <c r="Q473" s="296"/>
      <c r="S473" s="88"/>
      <c r="T473" s="88"/>
    </row>
    <row r="474" spans="1:20" ht="12.75">
      <c r="A474" s="927"/>
      <c r="B474" s="30">
        <v>4</v>
      </c>
      <c r="C474" s="16"/>
      <c r="D474" s="187"/>
      <c r="E474" s="187"/>
      <c r="F474" s="130"/>
      <c r="G474" s="130"/>
      <c r="H474" s="130"/>
      <c r="I474" s="130"/>
      <c r="J474" s="187"/>
      <c r="K474" s="130"/>
      <c r="L474" s="187"/>
      <c r="M474" s="295"/>
      <c r="N474" s="126"/>
      <c r="O474" s="126"/>
      <c r="P474" s="126"/>
      <c r="Q474" s="296"/>
      <c r="S474" s="88"/>
      <c r="T474" s="88"/>
    </row>
    <row r="475" spans="1:20" ht="12.75">
      <c r="A475" s="927"/>
      <c r="B475" s="30">
        <v>5</v>
      </c>
      <c r="C475" s="16"/>
      <c r="D475" s="187"/>
      <c r="E475" s="187"/>
      <c r="F475" s="130"/>
      <c r="G475" s="130"/>
      <c r="H475" s="130"/>
      <c r="I475" s="130"/>
      <c r="J475" s="187"/>
      <c r="K475" s="130"/>
      <c r="L475" s="187"/>
      <c r="M475" s="295"/>
      <c r="N475" s="126"/>
      <c r="O475" s="126"/>
      <c r="P475" s="126"/>
      <c r="Q475" s="296"/>
      <c r="S475" s="88"/>
      <c r="T475" s="88"/>
    </row>
    <row r="476" spans="1:20" ht="12.75">
      <c r="A476" s="927"/>
      <c r="B476" s="30">
        <v>6</v>
      </c>
      <c r="C476" s="16"/>
      <c r="D476" s="181"/>
      <c r="E476" s="187"/>
      <c r="F476" s="130"/>
      <c r="G476" s="130"/>
      <c r="H476" s="130"/>
      <c r="I476" s="130"/>
      <c r="J476" s="187"/>
      <c r="K476" s="130"/>
      <c r="L476" s="187"/>
      <c r="M476" s="295"/>
      <c r="N476" s="126"/>
      <c r="O476" s="126"/>
      <c r="P476" s="126"/>
      <c r="Q476" s="296"/>
      <c r="S476" s="88"/>
      <c r="T476" s="88"/>
    </row>
    <row r="477" spans="1:20" ht="12.75">
      <c r="A477" s="927"/>
      <c r="B477" s="30">
        <v>7</v>
      </c>
      <c r="C477" s="16"/>
      <c r="D477" s="181"/>
      <c r="E477" s="187"/>
      <c r="F477" s="130"/>
      <c r="G477" s="130"/>
      <c r="H477" s="130"/>
      <c r="I477" s="130"/>
      <c r="J477" s="187"/>
      <c r="K477" s="130"/>
      <c r="L477" s="187"/>
      <c r="M477" s="295"/>
      <c r="N477" s="126"/>
      <c r="O477" s="126"/>
      <c r="P477" s="126"/>
      <c r="Q477" s="296"/>
      <c r="S477" s="88"/>
      <c r="T477" s="88"/>
    </row>
    <row r="478" spans="1:20" ht="12.75">
      <c r="A478" s="927"/>
      <c r="B478" s="30">
        <v>8</v>
      </c>
      <c r="C478" s="16"/>
      <c r="D478" s="181"/>
      <c r="E478" s="187"/>
      <c r="F478" s="130"/>
      <c r="G478" s="130"/>
      <c r="H478" s="130"/>
      <c r="I478" s="130"/>
      <c r="J478" s="187"/>
      <c r="K478" s="130"/>
      <c r="L478" s="187"/>
      <c r="M478" s="295"/>
      <c r="N478" s="126"/>
      <c r="O478" s="126"/>
      <c r="P478" s="126"/>
      <c r="Q478" s="296"/>
      <c r="S478" s="88"/>
      <c r="T478" s="88"/>
    </row>
    <row r="479" spans="1:20" ht="12.75">
      <c r="A479" s="927"/>
      <c r="B479" s="30">
        <v>9</v>
      </c>
      <c r="C479" s="16"/>
      <c r="D479" s="181"/>
      <c r="E479" s="187"/>
      <c r="F479" s="130"/>
      <c r="G479" s="130"/>
      <c r="H479" s="130"/>
      <c r="I479" s="130"/>
      <c r="J479" s="187"/>
      <c r="K479" s="130"/>
      <c r="L479" s="187"/>
      <c r="M479" s="295"/>
      <c r="N479" s="126"/>
      <c r="O479" s="126"/>
      <c r="P479" s="126"/>
      <c r="Q479" s="296"/>
      <c r="S479" s="88"/>
      <c r="T479" s="88"/>
    </row>
    <row r="480" spans="1:20" ht="13.5" thickBot="1">
      <c r="A480" s="928"/>
      <c r="B480" s="63" t="s">
        <v>43</v>
      </c>
      <c r="C480" s="64"/>
      <c r="D480" s="242"/>
      <c r="E480" s="242"/>
      <c r="F480" s="235"/>
      <c r="G480" s="235"/>
      <c r="H480" s="235"/>
      <c r="I480" s="235"/>
      <c r="J480" s="364"/>
      <c r="K480" s="235"/>
      <c r="L480" s="364"/>
      <c r="M480" s="297"/>
      <c r="N480" s="127"/>
      <c r="O480" s="127"/>
      <c r="P480" s="127"/>
      <c r="Q480" s="128"/>
      <c r="S480" s="88"/>
      <c r="T480" s="88"/>
    </row>
    <row r="481" spans="1:20" ht="11.25" customHeight="1">
      <c r="A481" s="949" t="s">
        <v>29</v>
      </c>
      <c r="B481" s="752">
        <v>1</v>
      </c>
      <c r="C481" s="801" t="s">
        <v>223</v>
      </c>
      <c r="D481" s="752">
        <v>12</v>
      </c>
      <c r="E481" s="752">
        <v>1979</v>
      </c>
      <c r="F481" s="802">
        <f aca="true" t="shared" si="87" ref="F481:F509">SUM(G481:I481)</f>
        <v>15.5777</v>
      </c>
      <c r="G481" s="802">
        <v>0.8592</v>
      </c>
      <c r="H481" s="802">
        <v>1.84</v>
      </c>
      <c r="I481" s="802">
        <v>12.8785</v>
      </c>
      <c r="J481" s="803">
        <v>715.63</v>
      </c>
      <c r="K481" s="802">
        <v>12.8785</v>
      </c>
      <c r="L481" s="803">
        <v>715.63</v>
      </c>
      <c r="M481" s="829">
        <f aca="true" t="shared" si="88" ref="M481:M509">K481/L481</f>
        <v>0.017996031468775764</v>
      </c>
      <c r="N481" s="805">
        <v>279.6</v>
      </c>
      <c r="O481" s="805">
        <f aca="true" t="shared" si="89" ref="O481:O509">M481*N481*1.09</f>
        <v>5.484542534549978</v>
      </c>
      <c r="P481" s="730">
        <f aca="true" t="shared" si="90" ref="P481:P509">M481*60*1000</f>
        <v>1079.7618881265457</v>
      </c>
      <c r="Q481" s="806">
        <f aca="true" t="shared" si="91" ref="Q481:Q509">O481*60</f>
        <v>329.0725520729987</v>
      </c>
      <c r="S481" s="88"/>
      <c r="T481" s="88"/>
    </row>
    <row r="482" spans="1:20" ht="12.75" customHeight="1">
      <c r="A482" s="950"/>
      <c r="B482" s="725">
        <v>2</v>
      </c>
      <c r="C482" s="765" t="s">
        <v>225</v>
      </c>
      <c r="D482" s="725">
        <v>26</v>
      </c>
      <c r="E482" s="725">
        <v>1978</v>
      </c>
      <c r="F482" s="727">
        <f t="shared" si="87"/>
        <v>33.677</v>
      </c>
      <c r="G482" s="727">
        <v>2.8461</v>
      </c>
      <c r="H482" s="727">
        <v>3.785</v>
      </c>
      <c r="I482" s="727">
        <v>27.0459</v>
      </c>
      <c r="J482" s="728">
        <v>1331.23</v>
      </c>
      <c r="K482" s="727">
        <v>27.0459</v>
      </c>
      <c r="L482" s="728">
        <v>1331.23</v>
      </c>
      <c r="M482" s="729">
        <f t="shared" si="88"/>
        <v>0.02031647423811062</v>
      </c>
      <c r="N482" s="771">
        <v>279.6</v>
      </c>
      <c r="O482" s="730">
        <f t="shared" si="89"/>
        <v>6.191729954703545</v>
      </c>
      <c r="P482" s="730">
        <f t="shared" si="90"/>
        <v>1218.988454286637</v>
      </c>
      <c r="Q482" s="731">
        <f t="shared" si="91"/>
        <v>371.5037972822127</v>
      </c>
      <c r="S482" s="88"/>
      <c r="T482" s="88"/>
    </row>
    <row r="483" spans="1:20" ht="12.75" customHeight="1">
      <c r="A483" s="950"/>
      <c r="B483" s="725">
        <v>3</v>
      </c>
      <c r="C483" s="765" t="s">
        <v>226</v>
      </c>
      <c r="D483" s="725">
        <v>36</v>
      </c>
      <c r="E483" s="725">
        <v>1984</v>
      </c>
      <c r="F483" s="727">
        <f t="shared" si="87"/>
        <v>53.059999999999995</v>
      </c>
      <c r="G483" s="727">
        <v>3.259805</v>
      </c>
      <c r="H483" s="727">
        <v>5.76</v>
      </c>
      <c r="I483" s="727">
        <v>44.040195</v>
      </c>
      <c r="J483" s="728">
        <v>2108.99</v>
      </c>
      <c r="K483" s="727">
        <v>44.040195</v>
      </c>
      <c r="L483" s="728">
        <v>2108.99</v>
      </c>
      <c r="M483" s="729">
        <f t="shared" si="88"/>
        <v>0.020882126041375255</v>
      </c>
      <c r="N483" s="771">
        <v>279.6</v>
      </c>
      <c r="O483" s="730">
        <f t="shared" si="89"/>
        <v>6.364120260873689</v>
      </c>
      <c r="P483" s="730">
        <f t="shared" si="90"/>
        <v>1252.9275624825154</v>
      </c>
      <c r="Q483" s="731">
        <f t="shared" si="91"/>
        <v>381.8472156524213</v>
      </c>
      <c r="S483" s="88"/>
      <c r="T483" s="88"/>
    </row>
    <row r="484" spans="1:20" ht="12.75" customHeight="1">
      <c r="A484" s="950"/>
      <c r="B484" s="725">
        <v>4</v>
      </c>
      <c r="C484" s="765" t="s">
        <v>227</v>
      </c>
      <c r="D484" s="725">
        <v>13</v>
      </c>
      <c r="E484" s="725">
        <v>1981</v>
      </c>
      <c r="F484" s="727">
        <f t="shared" si="87"/>
        <v>18.77</v>
      </c>
      <c r="G484" s="727">
        <v>1.611</v>
      </c>
      <c r="H484" s="727">
        <v>1.92</v>
      </c>
      <c r="I484" s="727">
        <v>15.239</v>
      </c>
      <c r="J484" s="728">
        <v>729.29</v>
      </c>
      <c r="K484" s="727">
        <v>15.239</v>
      </c>
      <c r="L484" s="728">
        <v>729.29</v>
      </c>
      <c r="M484" s="729">
        <f t="shared" si="88"/>
        <v>0.020895665647410498</v>
      </c>
      <c r="N484" s="771">
        <v>279.6</v>
      </c>
      <c r="O484" s="730">
        <f t="shared" si="89"/>
        <v>6.368246645367414</v>
      </c>
      <c r="P484" s="730">
        <f t="shared" si="90"/>
        <v>1253.7399388446297</v>
      </c>
      <c r="Q484" s="731">
        <f t="shared" si="91"/>
        <v>382.09479872204486</v>
      </c>
      <c r="S484" s="88"/>
      <c r="T484" s="88"/>
    </row>
    <row r="485" spans="1:20" ht="12.75" customHeight="1">
      <c r="A485" s="950"/>
      <c r="B485" s="725">
        <v>5</v>
      </c>
      <c r="C485" s="765" t="s">
        <v>224</v>
      </c>
      <c r="D485" s="725">
        <v>13</v>
      </c>
      <c r="E485" s="725">
        <v>1981</v>
      </c>
      <c r="F485" s="727">
        <f t="shared" si="87"/>
        <v>20.11</v>
      </c>
      <c r="G485" s="727">
        <v>1.2351</v>
      </c>
      <c r="H485" s="727">
        <v>2.08</v>
      </c>
      <c r="I485" s="727">
        <v>16.7949</v>
      </c>
      <c r="J485" s="728">
        <v>779.03</v>
      </c>
      <c r="K485" s="727">
        <v>16.7949</v>
      </c>
      <c r="L485" s="728">
        <v>779.03</v>
      </c>
      <c r="M485" s="729">
        <f t="shared" si="88"/>
        <v>0.021558733296535435</v>
      </c>
      <c r="N485" s="771">
        <v>279.6</v>
      </c>
      <c r="O485" s="730">
        <f t="shared" si="89"/>
        <v>6.570325794385326</v>
      </c>
      <c r="P485" s="730">
        <f t="shared" si="90"/>
        <v>1293.523997792126</v>
      </c>
      <c r="Q485" s="731">
        <f t="shared" si="91"/>
        <v>394.21954766311956</v>
      </c>
      <c r="S485" s="88"/>
      <c r="T485" s="88"/>
    </row>
    <row r="486" spans="1:20" ht="12.75" customHeight="1">
      <c r="A486" s="950"/>
      <c r="B486" s="718">
        <v>6</v>
      </c>
      <c r="C486" s="765" t="s">
        <v>435</v>
      </c>
      <c r="D486" s="725">
        <v>27</v>
      </c>
      <c r="E486" s="725">
        <v>1978</v>
      </c>
      <c r="F486" s="727">
        <f t="shared" si="87"/>
        <v>37.542</v>
      </c>
      <c r="G486" s="727">
        <v>3.5442</v>
      </c>
      <c r="H486" s="727">
        <v>3.865</v>
      </c>
      <c r="I486" s="727">
        <v>30.1328</v>
      </c>
      <c r="J486" s="728">
        <v>1371.74</v>
      </c>
      <c r="K486" s="727">
        <v>30.1328</v>
      </c>
      <c r="L486" s="728">
        <v>1371.74</v>
      </c>
      <c r="M486" s="729">
        <f t="shared" si="88"/>
        <v>0.021966845028941345</v>
      </c>
      <c r="N486" s="771">
        <v>279.6</v>
      </c>
      <c r="O486" s="730">
        <f t="shared" si="89"/>
        <v>6.694703558400281</v>
      </c>
      <c r="P486" s="730">
        <f t="shared" si="90"/>
        <v>1318.0107017364805</v>
      </c>
      <c r="Q486" s="731">
        <f t="shared" si="91"/>
        <v>401.6822135040169</v>
      </c>
      <c r="S486" s="88"/>
      <c r="T486" s="88"/>
    </row>
    <row r="487" spans="1:20" ht="12.75" customHeight="1">
      <c r="A487" s="950"/>
      <c r="B487" s="718">
        <v>7</v>
      </c>
      <c r="C487" s="765" t="s">
        <v>229</v>
      </c>
      <c r="D487" s="725">
        <v>32</v>
      </c>
      <c r="E487" s="725">
        <v>1974</v>
      </c>
      <c r="F487" s="727">
        <f t="shared" si="87"/>
        <v>47.488</v>
      </c>
      <c r="G487" s="727">
        <v>2.5239</v>
      </c>
      <c r="H487" s="727">
        <v>4.96</v>
      </c>
      <c r="I487" s="727">
        <v>40.0041</v>
      </c>
      <c r="J487" s="728">
        <v>1820.68</v>
      </c>
      <c r="K487" s="727">
        <v>40.0041</v>
      </c>
      <c r="L487" s="728">
        <v>1820.68</v>
      </c>
      <c r="M487" s="729">
        <f t="shared" si="88"/>
        <v>0.021972065382164906</v>
      </c>
      <c r="N487" s="771">
        <v>279.6</v>
      </c>
      <c r="O487" s="730">
        <f t="shared" si="89"/>
        <v>6.696294534130106</v>
      </c>
      <c r="P487" s="730">
        <f t="shared" si="90"/>
        <v>1318.3239229298945</v>
      </c>
      <c r="Q487" s="731">
        <f t="shared" si="91"/>
        <v>401.7776720478064</v>
      </c>
      <c r="S487" s="88"/>
      <c r="T487" s="88"/>
    </row>
    <row r="488" spans="1:20" ht="12.75" customHeight="1">
      <c r="A488" s="950"/>
      <c r="B488" s="718">
        <v>8</v>
      </c>
      <c r="C488" s="765" t="s">
        <v>354</v>
      </c>
      <c r="D488" s="725">
        <v>22</v>
      </c>
      <c r="E488" s="725">
        <v>1974</v>
      </c>
      <c r="F488" s="727">
        <f t="shared" si="87"/>
        <v>27.515</v>
      </c>
      <c r="G488" s="727">
        <v>0.7518</v>
      </c>
      <c r="H488" s="727">
        <v>3.1984</v>
      </c>
      <c r="I488" s="727">
        <v>23.5648</v>
      </c>
      <c r="J488" s="728">
        <v>1064.69</v>
      </c>
      <c r="K488" s="727">
        <v>23.5648</v>
      </c>
      <c r="L488" s="728">
        <v>1064.69</v>
      </c>
      <c r="M488" s="729">
        <f t="shared" si="88"/>
        <v>0.022133015243873806</v>
      </c>
      <c r="N488" s="771">
        <v>279.6</v>
      </c>
      <c r="O488" s="730">
        <f t="shared" si="89"/>
        <v>6.745346257783957</v>
      </c>
      <c r="P488" s="730">
        <f t="shared" si="90"/>
        <v>1327.9809146324285</v>
      </c>
      <c r="Q488" s="731">
        <f t="shared" si="91"/>
        <v>404.72077546703747</v>
      </c>
      <c r="S488" s="88"/>
      <c r="T488" s="88"/>
    </row>
    <row r="489" spans="1:20" ht="13.5" customHeight="1">
      <c r="A489" s="950"/>
      <c r="B489" s="718">
        <v>9</v>
      </c>
      <c r="C489" s="765" t="s">
        <v>228</v>
      </c>
      <c r="D489" s="725">
        <v>13</v>
      </c>
      <c r="E489" s="725">
        <v>1980</v>
      </c>
      <c r="F489" s="727">
        <f t="shared" si="87"/>
        <v>18.419999999999998</v>
      </c>
      <c r="G489" s="727">
        <v>0.537</v>
      </c>
      <c r="H489" s="727">
        <v>1.92</v>
      </c>
      <c r="I489" s="727">
        <v>15.963</v>
      </c>
      <c r="J489" s="728">
        <v>703.82</v>
      </c>
      <c r="K489" s="727">
        <v>15.963</v>
      </c>
      <c r="L489" s="728">
        <v>703.82</v>
      </c>
      <c r="M489" s="729">
        <f t="shared" si="88"/>
        <v>0.02268051490437896</v>
      </c>
      <c r="N489" s="771">
        <v>279.6</v>
      </c>
      <c r="O489" s="730">
        <f t="shared" si="89"/>
        <v>6.91220444431815</v>
      </c>
      <c r="P489" s="730">
        <f t="shared" si="90"/>
        <v>1360.8308942627377</v>
      </c>
      <c r="Q489" s="731">
        <f t="shared" si="91"/>
        <v>414.732266659089</v>
      </c>
      <c r="S489" s="88"/>
      <c r="T489" s="88"/>
    </row>
    <row r="490" spans="1:20" ht="13.5" customHeight="1" thickBot="1">
      <c r="A490" s="951"/>
      <c r="B490" s="734"/>
      <c r="C490" s="773" t="s">
        <v>437</v>
      </c>
      <c r="D490" s="736">
        <v>12</v>
      </c>
      <c r="E490" s="736">
        <v>1986</v>
      </c>
      <c r="F490" s="737">
        <f t="shared" si="87"/>
        <v>19.67</v>
      </c>
      <c r="G490" s="737">
        <v>1.074</v>
      </c>
      <c r="H490" s="737">
        <v>1.945</v>
      </c>
      <c r="I490" s="737">
        <v>16.651</v>
      </c>
      <c r="J490" s="738">
        <v>706.88</v>
      </c>
      <c r="K490" s="737">
        <v>16.651</v>
      </c>
      <c r="L490" s="738">
        <v>706.88</v>
      </c>
      <c r="M490" s="739">
        <f t="shared" si="88"/>
        <v>0.023555624717066546</v>
      </c>
      <c r="N490" s="830">
        <v>279.6</v>
      </c>
      <c r="O490" s="740">
        <f t="shared" si="89"/>
        <v>7.178906411272069</v>
      </c>
      <c r="P490" s="831">
        <f t="shared" si="90"/>
        <v>1413.3374830239927</v>
      </c>
      <c r="Q490" s="742">
        <f t="shared" si="91"/>
        <v>430.73438467632417</v>
      </c>
      <c r="S490" s="88"/>
      <c r="T490" s="88"/>
    </row>
    <row r="491" spans="1:20" ht="12.75">
      <c r="A491" s="963" t="s">
        <v>30</v>
      </c>
      <c r="B491" s="32">
        <v>1</v>
      </c>
      <c r="C491" s="74" t="s">
        <v>436</v>
      </c>
      <c r="D491" s="82">
        <v>54</v>
      </c>
      <c r="E491" s="82">
        <v>1992</v>
      </c>
      <c r="F491" s="237">
        <f t="shared" si="87"/>
        <v>91.511</v>
      </c>
      <c r="G491" s="237">
        <v>5.4237</v>
      </c>
      <c r="H491" s="237">
        <v>8.45</v>
      </c>
      <c r="I491" s="237">
        <v>77.6373</v>
      </c>
      <c r="J491" s="394">
        <v>3243.5</v>
      </c>
      <c r="K491" s="237">
        <v>77.6373</v>
      </c>
      <c r="L491" s="394">
        <v>3243.5</v>
      </c>
      <c r="M491" s="335">
        <f t="shared" si="88"/>
        <v>0.02393627254509018</v>
      </c>
      <c r="N491" s="236">
        <v>279.6</v>
      </c>
      <c r="O491" s="236">
        <f t="shared" si="89"/>
        <v>7.294914165931865</v>
      </c>
      <c r="P491" s="299">
        <f t="shared" si="90"/>
        <v>1436.1763527054109</v>
      </c>
      <c r="Q491" s="179">
        <f t="shared" si="91"/>
        <v>437.6948499559119</v>
      </c>
      <c r="S491" s="88"/>
      <c r="T491" s="88"/>
    </row>
    <row r="492" spans="1:20" ht="12.75">
      <c r="A492" s="938"/>
      <c r="B492" s="34">
        <v>2</v>
      </c>
      <c r="C492" s="33" t="s">
        <v>239</v>
      </c>
      <c r="D492" s="34">
        <v>13</v>
      </c>
      <c r="E492" s="34">
        <v>1959</v>
      </c>
      <c r="F492" s="200">
        <f t="shared" si="87"/>
        <v>13.791</v>
      </c>
      <c r="G492" s="200"/>
      <c r="H492" s="200"/>
      <c r="I492" s="200">
        <v>13.791</v>
      </c>
      <c r="J492" s="309">
        <v>562.28</v>
      </c>
      <c r="K492" s="200">
        <v>13.791</v>
      </c>
      <c r="L492" s="309">
        <v>562.28</v>
      </c>
      <c r="M492" s="301">
        <f t="shared" si="88"/>
        <v>0.024526926086647225</v>
      </c>
      <c r="N492" s="176">
        <v>279.6</v>
      </c>
      <c r="O492" s="176">
        <f t="shared" si="89"/>
        <v>7.474924101870957</v>
      </c>
      <c r="P492" s="310">
        <f t="shared" si="90"/>
        <v>1471.6155651988333</v>
      </c>
      <c r="Q492" s="177">
        <f t="shared" si="91"/>
        <v>448.4954461122574</v>
      </c>
      <c r="S492" s="88"/>
      <c r="T492" s="88"/>
    </row>
    <row r="493" spans="1:20" ht="12.75">
      <c r="A493" s="938"/>
      <c r="B493" s="34">
        <v>3</v>
      </c>
      <c r="C493" s="33" t="s">
        <v>240</v>
      </c>
      <c r="D493" s="34">
        <v>12</v>
      </c>
      <c r="E493" s="34">
        <v>1962</v>
      </c>
      <c r="F493" s="200">
        <f t="shared" si="87"/>
        <v>12.192</v>
      </c>
      <c r="G493" s="200"/>
      <c r="H493" s="200"/>
      <c r="I493" s="200">
        <v>12.192</v>
      </c>
      <c r="J493" s="309">
        <v>529.97</v>
      </c>
      <c r="K493" s="200">
        <v>12.192</v>
      </c>
      <c r="L493" s="309">
        <v>486.49</v>
      </c>
      <c r="M493" s="301">
        <f t="shared" si="88"/>
        <v>0.025061152336122015</v>
      </c>
      <c r="N493" s="176">
        <v>279.6</v>
      </c>
      <c r="O493" s="176">
        <f t="shared" si="89"/>
        <v>7.637737030565891</v>
      </c>
      <c r="P493" s="310">
        <f t="shared" si="90"/>
        <v>1503.669140167321</v>
      </c>
      <c r="Q493" s="177">
        <f t="shared" si="91"/>
        <v>458.26422183395346</v>
      </c>
      <c r="S493" s="88"/>
      <c r="T493" s="88"/>
    </row>
    <row r="494" spans="1:20" ht="12.75">
      <c r="A494" s="938"/>
      <c r="B494" s="34">
        <v>4</v>
      </c>
      <c r="C494" s="33" t="s">
        <v>234</v>
      </c>
      <c r="D494" s="34">
        <v>24</v>
      </c>
      <c r="E494" s="34">
        <v>1964</v>
      </c>
      <c r="F494" s="200">
        <f t="shared" si="87"/>
        <v>27.783</v>
      </c>
      <c r="G494" s="200"/>
      <c r="H494" s="200"/>
      <c r="I494" s="200">
        <v>27.783</v>
      </c>
      <c r="J494" s="309">
        <v>1103</v>
      </c>
      <c r="K494" s="200">
        <v>27.783</v>
      </c>
      <c r="L494" s="309">
        <v>1103</v>
      </c>
      <c r="M494" s="301">
        <f t="shared" si="88"/>
        <v>0.025188576609247507</v>
      </c>
      <c r="N494" s="176">
        <v>279.6</v>
      </c>
      <c r="O494" s="176">
        <f t="shared" si="89"/>
        <v>7.6765713617407085</v>
      </c>
      <c r="P494" s="310">
        <f t="shared" si="90"/>
        <v>1511.3145965548504</v>
      </c>
      <c r="Q494" s="177">
        <f t="shared" si="91"/>
        <v>460.5942817044425</v>
      </c>
      <c r="S494" s="88"/>
      <c r="T494" s="88"/>
    </row>
    <row r="495" spans="1:20" ht="12.75">
      <c r="A495" s="938"/>
      <c r="B495" s="34">
        <v>5</v>
      </c>
      <c r="C495" s="33" t="s">
        <v>236</v>
      </c>
      <c r="D495" s="34">
        <v>5</v>
      </c>
      <c r="E495" s="34">
        <v>1825</v>
      </c>
      <c r="F495" s="200">
        <f t="shared" si="87"/>
        <v>6.06</v>
      </c>
      <c r="G495" s="200"/>
      <c r="H495" s="200"/>
      <c r="I495" s="200">
        <v>6.06</v>
      </c>
      <c r="J495" s="309">
        <v>230.53</v>
      </c>
      <c r="K495" s="200">
        <v>6.06</v>
      </c>
      <c r="L495" s="309">
        <v>230.53</v>
      </c>
      <c r="M495" s="301">
        <f t="shared" si="88"/>
        <v>0.02628725111699128</v>
      </c>
      <c r="N495" s="176">
        <v>279.6</v>
      </c>
      <c r="O495" s="176">
        <f t="shared" si="89"/>
        <v>8.01140779941873</v>
      </c>
      <c r="P495" s="310">
        <f t="shared" si="90"/>
        <v>1577.235067019477</v>
      </c>
      <c r="Q495" s="177">
        <f t="shared" si="91"/>
        <v>480.6844679651238</v>
      </c>
      <c r="S495" s="88"/>
      <c r="T495" s="88"/>
    </row>
    <row r="496" spans="1:20" ht="12.75">
      <c r="A496" s="938"/>
      <c r="B496" s="34">
        <v>6</v>
      </c>
      <c r="C496" s="33" t="s">
        <v>231</v>
      </c>
      <c r="D496" s="34">
        <v>24</v>
      </c>
      <c r="E496" s="34">
        <v>1966</v>
      </c>
      <c r="F496" s="200">
        <f t="shared" si="87"/>
        <v>28.7</v>
      </c>
      <c r="G496" s="200"/>
      <c r="H496" s="200"/>
      <c r="I496" s="200">
        <v>28.7</v>
      </c>
      <c r="J496" s="309">
        <v>1087.21</v>
      </c>
      <c r="K496" s="200">
        <v>28.7</v>
      </c>
      <c r="L496" s="309">
        <v>1087.21</v>
      </c>
      <c r="M496" s="301">
        <f t="shared" si="88"/>
        <v>0.026397844022773887</v>
      </c>
      <c r="N496" s="176">
        <v>279.6</v>
      </c>
      <c r="O496" s="176">
        <f t="shared" si="89"/>
        <v>8.045112535756662</v>
      </c>
      <c r="P496" s="310">
        <f t="shared" si="90"/>
        <v>1583.8706413664331</v>
      </c>
      <c r="Q496" s="177">
        <f t="shared" si="91"/>
        <v>482.7067521453997</v>
      </c>
      <c r="S496" s="88"/>
      <c r="T496" s="88"/>
    </row>
    <row r="497" spans="1:20" ht="12.75">
      <c r="A497" s="938"/>
      <c r="B497" s="34">
        <v>7</v>
      </c>
      <c r="C497" s="33" t="s">
        <v>235</v>
      </c>
      <c r="D497" s="34">
        <v>47</v>
      </c>
      <c r="E497" s="34">
        <v>1969</v>
      </c>
      <c r="F497" s="200">
        <f t="shared" si="87"/>
        <v>62.457</v>
      </c>
      <c r="G497" s="200">
        <v>3.9738</v>
      </c>
      <c r="H497" s="200">
        <v>7.44</v>
      </c>
      <c r="I497" s="200">
        <v>51.0432</v>
      </c>
      <c r="J497" s="309">
        <v>1893.25</v>
      </c>
      <c r="K497" s="200">
        <v>51.0432</v>
      </c>
      <c r="L497" s="309">
        <v>1893.25</v>
      </c>
      <c r="M497" s="301">
        <f t="shared" si="88"/>
        <v>0.02696062326686914</v>
      </c>
      <c r="N497" s="176">
        <v>279.6</v>
      </c>
      <c r="O497" s="176">
        <f t="shared" si="89"/>
        <v>8.216627389304108</v>
      </c>
      <c r="P497" s="310">
        <f t="shared" si="90"/>
        <v>1617.6373960121484</v>
      </c>
      <c r="Q497" s="177">
        <f t="shared" si="91"/>
        <v>492.9976433582465</v>
      </c>
      <c r="S497" s="88"/>
      <c r="T497" s="88"/>
    </row>
    <row r="498" spans="1:20" ht="12.75">
      <c r="A498" s="938"/>
      <c r="B498" s="34">
        <v>8</v>
      </c>
      <c r="C498" s="33" t="s">
        <v>233</v>
      </c>
      <c r="D498" s="34">
        <v>11</v>
      </c>
      <c r="E498" s="34">
        <v>1966</v>
      </c>
      <c r="F498" s="200">
        <f t="shared" si="87"/>
        <v>12.13</v>
      </c>
      <c r="G498" s="200"/>
      <c r="H498" s="200"/>
      <c r="I498" s="200">
        <v>12.13</v>
      </c>
      <c r="J498" s="309">
        <v>445.12</v>
      </c>
      <c r="K498" s="200">
        <v>12.13</v>
      </c>
      <c r="L498" s="309">
        <v>445.12</v>
      </c>
      <c r="M498" s="301">
        <f t="shared" si="88"/>
        <v>0.027251078360891447</v>
      </c>
      <c r="N498" s="176">
        <v>279.6</v>
      </c>
      <c r="O498" s="176">
        <f t="shared" si="89"/>
        <v>8.305147645578723</v>
      </c>
      <c r="P498" s="310">
        <f t="shared" si="90"/>
        <v>1635.0647016534867</v>
      </c>
      <c r="Q498" s="177">
        <f t="shared" si="91"/>
        <v>498.30885873472334</v>
      </c>
      <c r="S498" s="88"/>
      <c r="T498" s="88"/>
    </row>
    <row r="499" spans="1:20" ht="12.75">
      <c r="A499" s="939"/>
      <c r="B499" s="75">
        <v>9</v>
      </c>
      <c r="C499" s="33" t="s">
        <v>230</v>
      </c>
      <c r="D499" s="34">
        <v>24</v>
      </c>
      <c r="E499" s="34">
        <v>1968</v>
      </c>
      <c r="F499" s="200">
        <f t="shared" si="87"/>
        <v>32.847</v>
      </c>
      <c r="G499" s="200">
        <v>1.0203</v>
      </c>
      <c r="H499" s="200">
        <v>3.84</v>
      </c>
      <c r="I499" s="200">
        <v>27.9867</v>
      </c>
      <c r="J499" s="309">
        <v>1012.02</v>
      </c>
      <c r="K499" s="200">
        <v>27.9867</v>
      </c>
      <c r="L499" s="309">
        <v>1012.02</v>
      </c>
      <c r="M499" s="301">
        <f t="shared" si="88"/>
        <v>0.027654295369656724</v>
      </c>
      <c r="N499" s="176">
        <v>279.6</v>
      </c>
      <c r="O499" s="176">
        <f t="shared" si="89"/>
        <v>8.428033674038064</v>
      </c>
      <c r="P499" s="310">
        <f t="shared" si="90"/>
        <v>1659.2577221794033</v>
      </c>
      <c r="Q499" s="177">
        <f t="shared" si="91"/>
        <v>505.68202044228383</v>
      </c>
      <c r="S499" s="88"/>
      <c r="T499" s="88"/>
    </row>
    <row r="500" spans="1:20" ht="13.5" thickBot="1">
      <c r="A500" s="940"/>
      <c r="B500" s="36">
        <v>10</v>
      </c>
      <c r="C500" s="94" t="s">
        <v>150</v>
      </c>
      <c r="D500" s="75">
        <v>43</v>
      </c>
      <c r="E500" s="75">
        <v>1986</v>
      </c>
      <c r="F500" s="280">
        <f t="shared" si="87"/>
        <v>48.410000000000004</v>
      </c>
      <c r="G500" s="280">
        <v>2.462252</v>
      </c>
      <c r="H500" s="280">
        <v>4.67</v>
      </c>
      <c r="I500" s="280">
        <v>41.277748</v>
      </c>
      <c r="J500" s="395">
        <v>1472.24</v>
      </c>
      <c r="K500" s="280">
        <v>41.277748</v>
      </c>
      <c r="L500" s="395">
        <v>1472.24</v>
      </c>
      <c r="M500" s="397">
        <f t="shared" si="88"/>
        <v>0.028037377058088356</v>
      </c>
      <c r="N500" s="186">
        <v>279.6</v>
      </c>
      <c r="O500" s="186">
        <f t="shared" si="89"/>
        <v>8.54478318173124</v>
      </c>
      <c r="P500" s="336">
        <f t="shared" si="90"/>
        <v>1682.2426234853015</v>
      </c>
      <c r="Q500" s="459">
        <f t="shared" si="91"/>
        <v>512.6869909038744</v>
      </c>
      <c r="S500" s="88"/>
      <c r="T500" s="88"/>
    </row>
    <row r="501" spans="1:20" ht="12.75">
      <c r="A501" s="964" t="s">
        <v>12</v>
      </c>
      <c r="B501" s="39">
        <v>1</v>
      </c>
      <c r="C501" s="47" t="s">
        <v>237</v>
      </c>
      <c r="D501" s="39">
        <v>7</v>
      </c>
      <c r="E501" s="39">
        <v>1938</v>
      </c>
      <c r="F501" s="379">
        <f t="shared" si="87"/>
        <v>6.46</v>
      </c>
      <c r="G501" s="379"/>
      <c r="H501" s="379"/>
      <c r="I501" s="379">
        <v>6.46</v>
      </c>
      <c r="J501" s="398">
        <v>220.85</v>
      </c>
      <c r="K501" s="379">
        <v>6.46</v>
      </c>
      <c r="L501" s="398">
        <v>220.85</v>
      </c>
      <c r="M501" s="305">
        <f t="shared" si="88"/>
        <v>0.02925062259452117</v>
      </c>
      <c r="N501" s="337">
        <v>279.6</v>
      </c>
      <c r="O501" s="337">
        <f t="shared" si="89"/>
        <v>8.91453674439665</v>
      </c>
      <c r="P501" s="337">
        <f t="shared" si="90"/>
        <v>1755.0373556712702</v>
      </c>
      <c r="Q501" s="268">
        <f t="shared" si="91"/>
        <v>534.8722046637989</v>
      </c>
      <c r="S501" s="88"/>
      <c r="T501" s="88"/>
    </row>
    <row r="502" spans="1:20" ht="12.75">
      <c r="A502" s="965"/>
      <c r="B502" s="41">
        <v>2</v>
      </c>
      <c r="C502" s="48" t="s">
        <v>246</v>
      </c>
      <c r="D502" s="41">
        <v>12</v>
      </c>
      <c r="E502" s="41">
        <v>1925</v>
      </c>
      <c r="F502" s="201">
        <f t="shared" si="87"/>
        <v>15.13</v>
      </c>
      <c r="G502" s="201"/>
      <c r="H502" s="201"/>
      <c r="I502" s="201">
        <v>15.13</v>
      </c>
      <c r="J502" s="376">
        <v>512.15</v>
      </c>
      <c r="K502" s="201">
        <v>15.13</v>
      </c>
      <c r="L502" s="376">
        <v>512.15</v>
      </c>
      <c r="M502" s="286">
        <f t="shared" si="88"/>
        <v>0.029542126330176707</v>
      </c>
      <c r="N502" s="178">
        <v>279.6</v>
      </c>
      <c r="O502" s="178">
        <f t="shared" si="89"/>
        <v>9.003376588889974</v>
      </c>
      <c r="P502" s="178">
        <f t="shared" si="90"/>
        <v>1772.5275798106024</v>
      </c>
      <c r="Q502" s="265">
        <f t="shared" si="91"/>
        <v>540.2025953333984</v>
      </c>
      <c r="S502" s="88"/>
      <c r="T502" s="88"/>
    </row>
    <row r="503" spans="1:20" ht="12.75">
      <c r="A503" s="965"/>
      <c r="B503" s="41">
        <v>3</v>
      </c>
      <c r="C503" s="48" t="s">
        <v>241</v>
      </c>
      <c r="D503" s="41">
        <v>12</v>
      </c>
      <c r="E503" s="41">
        <v>1968</v>
      </c>
      <c r="F503" s="201">
        <f t="shared" si="87"/>
        <v>24.244</v>
      </c>
      <c r="G503" s="201">
        <v>0.9666</v>
      </c>
      <c r="H503" s="201">
        <v>0.25</v>
      </c>
      <c r="I503" s="201">
        <v>23.0274</v>
      </c>
      <c r="J503" s="376">
        <v>725.5</v>
      </c>
      <c r="K503" s="201">
        <v>23.0274</v>
      </c>
      <c r="L503" s="376">
        <v>725.5</v>
      </c>
      <c r="M503" s="286">
        <f t="shared" si="88"/>
        <v>0.03174004135079256</v>
      </c>
      <c r="N503" s="178">
        <v>279.6</v>
      </c>
      <c r="O503" s="178">
        <f t="shared" si="89"/>
        <v>9.673221962232944</v>
      </c>
      <c r="P503" s="178">
        <f t="shared" si="90"/>
        <v>1904.4024810475535</v>
      </c>
      <c r="Q503" s="265">
        <f t="shared" si="91"/>
        <v>580.3933177339766</v>
      </c>
      <c r="S503" s="88"/>
      <c r="T503" s="88"/>
    </row>
    <row r="504" spans="1:20" ht="12.75">
      <c r="A504" s="965"/>
      <c r="B504" s="41">
        <v>4</v>
      </c>
      <c r="C504" s="48" t="s">
        <v>232</v>
      </c>
      <c r="D504" s="41">
        <v>12</v>
      </c>
      <c r="E504" s="41">
        <v>1963</v>
      </c>
      <c r="F504" s="201">
        <f t="shared" si="87"/>
        <v>18.894</v>
      </c>
      <c r="G504" s="201">
        <v>0.4296</v>
      </c>
      <c r="H504" s="201">
        <v>0.705</v>
      </c>
      <c r="I504" s="201">
        <v>17.7594</v>
      </c>
      <c r="J504" s="376">
        <v>534.54</v>
      </c>
      <c r="K504" s="201">
        <v>17.7594</v>
      </c>
      <c r="L504" s="376">
        <v>534.54</v>
      </c>
      <c r="M504" s="286">
        <f t="shared" si="88"/>
        <v>0.03322370636435066</v>
      </c>
      <c r="N504" s="178">
        <v>279.6</v>
      </c>
      <c r="O504" s="178">
        <f t="shared" si="89"/>
        <v>10.125389646424967</v>
      </c>
      <c r="P504" s="178">
        <f t="shared" si="90"/>
        <v>1993.4223818610394</v>
      </c>
      <c r="Q504" s="265">
        <f t="shared" si="91"/>
        <v>607.523378785498</v>
      </c>
      <c r="S504" s="88"/>
      <c r="T504" s="88"/>
    </row>
    <row r="505" spans="1:20" ht="12.75">
      <c r="A505" s="965"/>
      <c r="B505" s="41">
        <v>5</v>
      </c>
      <c r="C505" s="48" t="s">
        <v>243</v>
      </c>
      <c r="D505" s="41">
        <v>8</v>
      </c>
      <c r="E505" s="41">
        <v>1958</v>
      </c>
      <c r="F505" s="201">
        <f t="shared" si="87"/>
        <v>7.1345</v>
      </c>
      <c r="G505" s="201"/>
      <c r="H505" s="201"/>
      <c r="I505" s="201">
        <v>7.1345</v>
      </c>
      <c r="J505" s="376">
        <v>256.25</v>
      </c>
      <c r="K505" s="201">
        <v>7.1345</v>
      </c>
      <c r="L505" s="376">
        <v>214.11</v>
      </c>
      <c r="M505" s="286">
        <f t="shared" si="88"/>
        <v>0.03332165709214889</v>
      </c>
      <c r="N505" s="178">
        <v>279.6</v>
      </c>
      <c r="O505" s="178">
        <f t="shared" si="89"/>
        <v>10.155241502031666</v>
      </c>
      <c r="P505" s="178">
        <f t="shared" si="90"/>
        <v>1999.2994255289334</v>
      </c>
      <c r="Q505" s="265">
        <f t="shared" si="91"/>
        <v>609.3144901219</v>
      </c>
      <c r="S505" s="88"/>
      <c r="T505" s="88"/>
    </row>
    <row r="506" spans="1:20" ht="12.75">
      <c r="A506" s="965"/>
      <c r="B506" s="41">
        <v>6</v>
      </c>
      <c r="C506" s="48" t="s">
        <v>245</v>
      </c>
      <c r="D506" s="41">
        <v>13</v>
      </c>
      <c r="E506" s="41">
        <v>1958</v>
      </c>
      <c r="F506" s="201">
        <f t="shared" si="87"/>
        <v>22.4</v>
      </c>
      <c r="G506" s="201"/>
      <c r="H506" s="201"/>
      <c r="I506" s="201">
        <v>22.4</v>
      </c>
      <c r="J506" s="376">
        <v>653.78</v>
      </c>
      <c r="K506" s="201">
        <v>17.58</v>
      </c>
      <c r="L506" s="376">
        <v>513.18</v>
      </c>
      <c r="M506" s="286">
        <f t="shared" si="88"/>
        <v>0.0342569858529171</v>
      </c>
      <c r="N506" s="178">
        <v>279.6</v>
      </c>
      <c r="O506" s="178">
        <f t="shared" si="89"/>
        <v>10.44029603647843</v>
      </c>
      <c r="P506" s="178">
        <f t="shared" si="90"/>
        <v>2055.419151175026</v>
      </c>
      <c r="Q506" s="265">
        <f t="shared" si="91"/>
        <v>626.4177621887058</v>
      </c>
      <c r="S506" s="88"/>
      <c r="T506" s="88"/>
    </row>
    <row r="507" spans="1:20" ht="12.75">
      <c r="A507" s="965"/>
      <c r="B507" s="41">
        <v>7</v>
      </c>
      <c r="C507" s="48" t="s">
        <v>242</v>
      </c>
      <c r="D507" s="41">
        <v>17</v>
      </c>
      <c r="E507" s="41">
        <v>1968</v>
      </c>
      <c r="F507" s="201">
        <f t="shared" si="87"/>
        <v>20.44</v>
      </c>
      <c r="G507" s="201"/>
      <c r="H507" s="201"/>
      <c r="I507" s="201">
        <v>20.44</v>
      </c>
      <c r="J507" s="376">
        <v>569.32</v>
      </c>
      <c r="K507" s="201">
        <v>20.44</v>
      </c>
      <c r="L507" s="376">
        <v>569.32</v>
      </c>
      <c r="M507" s="286">
        <f t="shared" si="88"/>
        <v>0.035902480151759994</v>
      </c>
      <c r="N507" s="178">
        <v>279.6</v>
      </c>
      <c r="O507" s="178">
        <f t="shared" si="89"/>
        <v>10.941783460970985</v>
      </c>
      <c r="P507" s="178">
        <f t="shared" si="90"/>
        <v>2154.1488091055994</v>
      </c>
      <c r="Q507" s="265">
        <f t="shared" si="91"/>
        <v>656.5070076582591</v>
      </c>
      <c r="S507" s="88"/>
      <c r="T507" s="88"/>
    </row>
    <row r="508" spans="1:20" ht="12.75">
      <c r="A508" s="965"/>
      <c r="B508" s="41">
        <v>8</v>
      </c>
      <c r="C508" s="48" t="s">
        <v>238</v>
      </c>
      <c r="D508" s="41">
        <v>5</v>
      </c>
      <c r="E508" s="41">
        <v>1961</v>
      </c>
      <c r="F508" s="201">
        <f t="shared" si="87"/>
        <v>7.204</v>
      </c>
      <c r="G508" s="201"/>
      <c r="H508" s="201"/>
      <c r="I508" s="201">
        <v>7.204</v>
      </c>
      <c r="J508" s="376">
        <v>186.3</v>
      </c>
      <c r="K508" s="201">
        <v>7.204</v>
      </c>
      <c r="L508" s="376">
        <v>186.3</v>
      </c>
      <c r="M508" s="286">
        <f t="shared" si="88"/>
        <v>0.03866881374127751</v>
      </c>
      <c r="N508" s="178">
        <v>279.6</v>
      </c>
      <c r="O508" s="178">
        <f t="shared" si="89"/>
        <v>11.7848623510467</v>
      </c>
      <c r="P508" s="178">
        <f t="shared" si="90"/>
        <v>2320.1288244766506</v>
      </c>
      <c r="Q508" s="265">
        <f t="shared" si="91"/>
        <v>707.0917410628019</v>
      </c>
      <c r="S508" s="88"/>
      <c r="T508" s="88"/>
    </row>
    <row r="509" spans="1:20" ht="12.75">
      <c r="A509" s="965"/>
      <c r="B509" s="41">
        <v>9</v>
      </c>
      <c r="C509" s="48" t="s">
        <v>244</v>
      </c>
      <c r="D509" s="41">
        <v>4</v>
      </c>
      <c r="E509" s="41">
        <v>1961</v>
      </c>
      <c r="F509" s="201">
        <f t="shared" si="87"/>
        <v>4.917</v>
      </c>
      <c r="G509" s="201"/>
      <c r="H509" s="201"/>
      <c r="I509" s="201">
        <v>4.917</v>
      </c>
      <c r="J509" s="376">
        <v>120.27</v>
      </c>
      <c r="K509" s="201">
        <v>4.917</v>
      </c>
      <c r="L509" s="376">
        <v>120.27</v>
      </c>
      <c r="M509" s="286">
        <f t="shared" si="88"/>
        <v>0.04088301322025443</v>
      </c>
      <c r="N509" s="178">
        <v>279.6</v>
      </c>
      <c r="O509" s="178">
        <f t="shared" si="89"/>
        <v>12.459670641057622</v>
      </c>
      <c r="P509" s="178">
        <f t="shared" si="90"/>
        <v>2452.9807932152657</v>
      </c>
      <c r="Q509" s="265">
        <f t="shared" si="91"/>
        <v>747.5802384634574</v>
      </c>
      <c r="S509" s="88"/>
      <c r="T509" s="88"/>
    </row>
    <row r="510" spans="1:20" ht="13.5" thickBot="1">
      <c r="A510" s="966"/>
      <c r="B510" s="45">
        <v>10</v>
      </c>
      <c r="C510" s="51"/>
      <c r="D510" s="45"/>
      <c r="E510" s="45"/>
      <c r="F510" s="380"/>
      <c r="G510" s="380"/>
      <c r="H510" s="380"/>
      <c r="I510" s="380"/>
      <c r="J510" s="384"/>
      <c r="K510" s="306"/>
      <c r="L510" s="384"/>
      <c r="M510" s="306"/>
      <c r="N510" s="307"/>
      <c r="O510" s="307"/>
      <c r="P510" s="307"/>
      <c r="Q510" s="269"/>
      <c r="S510" s="88"/>
      <c r="T510" s="88"/>
    </row>
    <row r="511" spans="19:20" ht="12.75">
      <c r="S511" s="88"/>
      <c r="T511" s="88"/>
    </row>
    <row r="512" spans="19:20" ht="12.75">
      <c r="S512" s="88"/>
      <c r="T512" s="88"/>
    </row>
    <row r="513" spans="19:20" ht="12.75">
      <c r="S513" s="88"/>
      <c r="T513" s="88"/>
    </row>
    <row r="514" spans="1:20" ht="15">
      <c r="A514" s="967" t="s">
        <v>63</v>
      </c>
      <c r="B514" s="967"/>
      <c r="C514" s="967"/>
      <c r="D514" s="967"/>
      <c r="E514" s="967"/>
      <c r="F514" s="967"/>
      <c r="G514" s="967"/>
      <c r="H514" s="967"/>
      <c r="I514" s="967"/>
      <c r="J514" s="967"/>
      <c r="K514" s="967"/>
      <c r="L514" s="967"/>
      <c r="M514" s="967"/>
      <c r="N514" s="967"/>
      <c r="O514" s="967"/>
      <c r="P514" s="967"/>
      <c r="Q514" s="967"/>
      <c r="S514" s="88"/>
      <c r="T514" s="88"/>
    </row>
    <row r="515" spans="1:20" ht="13.5" thickBot="1">
      <c r="A515" s="968" t="s">
        <v>660</v>
      </c>
      <c r="B515" s="968"/>
      <c r="C515" s="968"/>
      <c r="D515" s="968"/>
      <c r="E515" s="968"/>
      <c r="F515" s="968"/>
      <c r="G515" s="968"/>
      <c r="H515" s="968"/>
      <c r="I515" s="968"/>
      <c r="J515" s="968"/>
      <c r="K515" s="968"/>
      <c r="L515" s="968"/>
      <c r="M515" s="968"/>
      <c r="N515" s="968"/>
      <c r="O515" s="968"/>
      <c r="P515" s="968"/>
      <c r="Q515" s="968"/>
      <c r="S515" s="88"/>
      <c r="T515" s="88"/>
    </row>
    <row r="516" spans="1:20" ht="12.75" customHeight="1">
      <c r="A516" s="952" t="s">
        <v>1</v>
      </c>
      <c r="B516" s="955" t="s">
        <v>0</v>
      </c>
      <c r="C516" s="944" t="s">
        <v>2</v>
      </c>
      <c r="D516" s="944" t="s">
        <v>3</v>
      </c>
      <c r="E516" s="944" t="s">
        <v>13</v>
      </c>
      <c r="F516" s="960" t="s">
        <v>14</v>
      </c>
      <c r="G516" s="961"/>
      <c r="H516" s="961"/>
      <c r="I516" s="962"/>
      <c r="J516" s="944" t="s">
        <v>4</v>
      </c>
      <c r="K516" s="944" t="s">
        <v>15</v>
      </c>
      <c r="L516" s="944" t="s">
        <v>5</v>
      </c>
      <c r="M516" s="944" t="s">
        <v>6</v>
      </c>
      <c r="N516" s="944" t="s">
        <v>16</v>
      </c>
      <c r="O516" s="969" t="s">
        <v>17</v>
      </c>
      <c r="P516" s="944" t="s">
        <v>25</v>
      </c>
      <c r="Q516" s="929" t="s">
        <v>26</v>
      </c>
      <c r="S516" s="88"/>
      <c r="T516" s="88"/>
    </row>
    <row r="517" spans="1:20" s="2" customFormat="1" ht="33.75">
      <c r="A517" s="953"/>
      <c r="B517" s="956"/>
      <c r="C517" s="958"/>
      <c r="D517" s="945"/>
      <c r="E517" s="945"/>
      <c r="F517" s="37" t="s">
        <v>18</v>
      </c>
      <c r="G517" s="37" t="s">
        <v>19</v>
      </c>
      <c r="H517" s="37" t="s">
        <v>20</v>
      </c>
      <c r="I517" s="37" t="s">
        <v>21</v>
      </c>
      <c r="J517" s="945"/>
      <c r="K517" s="945"/>
      <c r="L517" s="945"/>
      <c r="M517" s="945"/>
      <c r="N517" s="945"/>
      <c r="O517" s="970"/>
      <c r="P517" s="945"/>
      <c r="Q517" s="930"/>
      <c r="S517" s="88"/>
      <c r="T517" s="88"/>
    </row>
    <row r="518" spans="1:20" s="3" customFormat="1" ht="13.5" customHeight="1" thickBot="1">
      <c r="A518" s="954"/>
      <c r="B518" s="957"/>
      <c r="C518" s="959"/>
      <c r="D518" s="58" t="s">
        <v>7</v>
      </c>
      <c r="E518" s="58" t="s">
        <v>8</v>
      </c>
      <c r="F518" s="58" t="s">
        <v>9</v>
      </c>
      <c r="G518" s="58" t="s">
        <v>9</v>
      </c>
      <c r="H518" s="58" t="s">
        <v>9</v>
      </c>
      <c r="I518" s="58" t="s">
        <v>9</v>
      </c>
      <c r="J518" s="58" t="s">
        <v>22</v>
      </c>
      <c r="K518" s="58" t="s">
        <v>9</v>
      </c>
      <c r="L518" s="58" t="s">
        <v>22</v>
      </c>
      <c r="M518" s="58" t="s">
        <v>134</v>
      </c>
      <c r="N518" s="58" t="s">
        <v>10</v>
      </c>
      <c r="O518" s="58" t="s">
        <v>135</v>
      </c>
      <c r="P518" s="59" t="s">
        <v>27</v>
      </c>
      <c r="Q518" s="60" t="s">
        <v>28</v>
      </c>
      <c r="S518" s="88"/>
      <c r="T518" s="88"/>
    </row>
    <row r="519" spans="1:20" ht="12.75">
      <c r="A519" s="931" t="s">
        <v>11</v>
      </c>
      <c r="B519" s="61">
        <v>1</v>
      </c>
      <c r="C519" s="202" t="s">
        <v>442</v>
      </c>
      <c r="D519" s="159">
        <v>60</v>
      </c>
      <c r="E519" s="159">
        <v>2007</v>
      </c>
      <c r="F519" s="253">
        <v>36.823</v>
      </c>
      <c r="G519" s="253">
        <v>2.45769</v>
      </c>
      <c r="H519" s="253">
        <v>5.28</v>
      </c>
      <c r="I519" s="253">
        <v>29.08531</v>
      </c>
      <c r="J519" s="270">
        <v>4032.6</v>
      </c>
      <c r="K519" s="253">
        <v>20.72</v>
      </c>
      <c r="L519" s="270">
        <v>2249.86</v>
      </c>
      <c r="M519" s="173">
        <f aca="true" t="shared" si="92" ref="M519:M558">K519/L519</f>
        <v>0.009209461922075151</v>
      </c>
      <c r="N519" s="160">
        <v>318.934</v>
      </c>
      <c r="O519" s="164">
        <f aca="true" t="shared" si="93" ref="O519:O558">M519*N519</f>
        <v>2.9372105286551164</v>
      </c>
      <c r="P519" s="164">
        <f aca="true" t="shared" si="94" ref="P519:P558">M519*60*1000</f>
        <v>552.5677153245091</v>
      </c>
      <c r="Q519" s="203">
        <f aca="true" t="shared" si="95" ref="Q519:Q558">P519*N519/1000</f>
        <v>176.232631719307</v>
      </c>
      <c r="R519" s="6"/>
      <c r="S519" s="88"/>
      <c r="T519" s="88"/>
    </row>
    <row r="520" spans="1:20" ht="12.75">
      <c r="A520" s="932"/>
      <c r="B520" s="30">
        <v>2</v>
      </c>
      <c r="C520" s="158" t="s">
        <v>355</v>
      </c>
      <c r="D520" s="132">
        <v>23</v>
      </c>
      <c r="E520" s="159">
        <v>2007</v>
      </c>
      <c r="F520" s="248">
        <v>33.996</v>
      </c>
      <c r="G520" s="248">
        <v>3.803019</v>
      </c>
      <c r="H520" s="248">
        <v>2.380721</v>
      </c>
      <c r="I520" s="248">
        <v>27.81226</v>
      </c>
      <c r="J520" s="271">
        <v>6418.42</v>
      </c>
      <c r="K520" s="248">
        <v>22.31</v>
      </c>
      <c r="L520" s="271">
        <v>2192.17</v>
      </c>
      <c r="M520" s="141">
        <f t="shared" si="92"/>
        <v>0.010177130423279215</v>
      </c>
      <c r="N520" s="160">
        <v>318.934</v>
      </c>
      <c r="O520" s="143">
        <f t="shared" si="93"/>
        <v>3.2458329144181333</v>
      </c>
      <c r="P520" s="164">
        <f t="shared" si="94"/>
        <v>610.6278253967529</v>
      </c>
      <c r="Q520" s="144">
        <f t="shared" si="95"/>
        <v>194.749974865088</v>
      </c>
      <c r="S520" s="88"/>
      <c r="T520" s="88"/>
    </row>
    <row r="521" spans="1:20" ht="12.75">
      <c r="A521" s="932"/>
      <c r="B521" s="30">
        <v>3</v>
      </c>
      <c r="C521" s="158" t="s">
        <v>661</v>
      </c>
      <c r="D521" s="132">
        <v>51</v>
      </c>
      <c r="E521" s="159">
        <v>2007</v>
      </c>
      <c r="F521" s="248">
        <v>37.357</v>
      </c>
      <c r="G521" s="248">
        <v>2.652</v>
      </c>
      <c r="H521" s="248" t="s">
        <v>247</v>
      </c>
      <c r="I521" s="248">
        <v>34.705</v>
      </c>
      <c r="J521" s="271">
        <v>3983.31</v>
      </c>
      <c r="K521" s="248">
        <v>32.07</v>
      </c>
      <c r="L521" s="271">
        <v>3043.8</v>
      </c>
      <c r="M521" s="141">
        <f t="shared" si="92"/>
        <v>0.010536171890400157</v>
      </c>
      <c r="N521" s="160">
        <v>318.934</v>
      </c>
      <c r="O521" s="143">
        <f t="shared" si="93"/>
        <v>3.360343445692884</v>
      </c>
      <c r="P521" s="164">
        <f t="shared" si="94"/>
        <v>632.1703134240095</v>
      </c>
      <c r="Q521" s="144">
        <f t="shared" si="95"/>
        <v>201.62060674157306</v>
      </c>
      <c r="S521" s="88"/>
      <c r="T521" s="88"/>
    </row>
    <row r="522" spans="1:20" ht="12.75">
      <c r="A522" s="932"/>
      <c r="B522" s="30">
        <v>4</v>
      </c>
      <c r="C522" s="158" t="s">
        <v>358</v>
      </c>
      <c r="D522" s="132">
        <v>20</v>
      </c>
      <c r="E522" s="132">
        <v>1975</v>
      </c>
      <c r="F522" s="248">
        <v>17.697</v>
      </c>
      <c r="G522" s="248">
        <v>1.8615</v>
      </c>
      <c r="H522" s="248">
        <v>3.2</v>
      </c>
      <c r="I522" s="248">
        <v>12.6355</v>
      </c>
      <c r="J522" s="271">
        <v>1147.89</v>
      </c>
      <c r="K522" s="248">
        <v>12.64</v>
      </c>
      <c r="L522" s="271">
        <v>1147.89</v>
      </c>
      <c r="M522" s="141">
        <f t="shared" si="92"/>
        <v>0.011011508071330877</v>
      </c>
      <c r="N522" s="160">
        <v>318.934</v>
      </c>
      <c r="O522" s="143">
        <f t="shared" si="93"/>
        <v>3.511944315221842</v>
      </c>
      <c r="P522" s="164">
        <f t="shared" si="94"/>
        <v>660.6904842798525</v>
      </c>
      <c r="Q522" s="144">
        <f t="shared" si="95"/>
        <v>210.7166589133105</v>
      </c>
      <c r="S522" s="88"/>
      <c r="T522" s="88"/>
    </row>
    <row r="523" spans="1:20" ht="12.75">
      <c r="A523" s="932"/>
      <c r="B523" s="30">
        <v>5</v>
      </c>
      <c r="C523" s="158" t="s">
        <v>248</v>
      </c>
      <c r="D523" s="132">
        <v>37</v>
      </c>
      <c r="E523" s="132">
        <v>2007</v>
      </c>
      <c r="F523" s="248">
        <v>65.859</v>
      </c>
      <c r="G523" s="248">
        <v>3.672</v>
      </c>
      <c r="H523" s="248">
        <v>4.48</v>
      </c>
      <c r="I523" s="248">
        <v>57.707</v>
      </c>
      <c r="J523" s="271">
        <v>4058.88</v>
      </c>
      <c r="K523" s="248">
        <v>29.67</v>
      </c>
      <c r="L523" s="271">
        <v>2663.94</v>
      </c>
      <c r="M523" s="141">
        <f t="shared" si="92"/>
        <v>0.011137638235095386</v>
      </c>
      <c r="N523" s="160">
        <v>318.934</v>
      </c>
      <c r="O523" s="143">
        <f t="shared" si="93"/>
        <v>3.552171512871912</v>
      </c>
      <c r="P523" s="164">
        <f t="shared" si="94"/>
        <v>668.2582941057232</v>
      </c>
      <c r="Q523" s="144">
        <f t="shared" si="95"/>
        <v>213.13029077231474</v>
      </c>
      <c r="S523" s="88"/>
      <c r="T523" s="88"/>
    </row>
    <row r="524" spans="1:20" ht="12.75">
      <c r="A524" s="932"/>
      <c r="B524" s="30">
        <v>6</v>
      </c>
      <c r="C524" s="158" t="s">
        <v>440</v>
      </c>
      <c r="D524" s="132">
        <v>38</v>
      </c>
      <c r="E524" s="132">
        <v>2007</v>
      </c>
      <c r="F524" s="248">
        <v>35.136</v>
      </c>
      <c r="G524" s="248">
        <v>2.24145</v>
      </c>
      <c r="H524" s="248">
        <v>3.11155</v>
      </c>
      <c r="I524" s="248">
        <v>29.783</v>
      </c>
      <c r="J524" s="271">
        <v>2880.8</v>
      </c>
      <c r="K524" s="248">
        <v>28.39</v>
      </c>
      <c r="L524" s="271">
        <v>2457.74</v>
      </c>
      <c r="M524" s="141">
        <f t="shared" si="92"/>
        <v>0.011551262542010141</v>
      </c>
      <c r="N524" s="160">
        <v>318.934</v>
      </c>
      <c r="O524" s="143">
        <f t="shared" si="93"/>
        <v>3.6840903675734626</v>
      </c>
      <c r="P524" s="164">
        <f t="shared" si="94"/>
        <v>693.0757525206085</v>
      </c>
      <c r="Q524" s="144">
        <f t="shared" si="95"/>
        <v>221.04542205440777</v>
      </c>
      <c r="S524" s="88"/>
      <c r="T524" s="88"/>
    </row>
    <row r="525" spans="1:20" ht="12.75">
      <c r="A525" s="932"/>
      <c r="B525" s="30">
        <v>7</v>
      </c>
      <c r="C525" s="158" t="s">
        <v>356</v>
      </c>
      <c r="D525" s="132">
        <v>20</v>
      </c>
      <c r="E525" s="132">
        <v>1975</v>
      </c>
      <c r="F525" s="248">
        <v>18.175</v>
      </c>
      <c r="G525" s="248">
        <v>1.7085</v>
      </c>
      <c r="H525" s="248">
        <v>3.2</v>
      </c>
      <c r="I525" s="248">
        <v>13.2665</v>
      </c>
      <c r="J525" s="271">
        <v>1127.14</v>
      </c>
      <c r="K525" s="248">
        <v>13.27</v>
      </c>
      <c r="L525" s="271">
        <v>1127.14</v>
      </c>
      <c r="M525" s="141">
        <f t="shared" si="92"/>
        <v>0.01177316038823926</v>
      </c>
      <c r="N525" s="160">
        <v>318.934</v>
      </c>
      <c r="O525" s="143">
        <f t="shared" si="93"/>
        <v>3.7548611352627</v>
      </c>
      <c r="P525" s="164">
        <f t="shared" si="94"/>
        <v>706.3896232943556</v>
      </c>
      <c r="Q525" s="144">
        <f t="shared" si="95"/>
        <v>225.29166811576204</v>
      </c>
      <c r="S525" s="88"/>
      <c r="T525" s="88"/>
    </row>
    <row r="526" spans="1:20" ht="12.75">
      <c r="A526" s="932"/>
      <c r="B526" s="30">
        <v>8</v>
      </c>
      <c r="C526" s="158" t="s">
        <v>357</v>
      </c>
      <c r="D526" s="132">
        <v>42</v>
      </c>
      <c r="E526" s="132">
        <v>2008</v>
      </c>
      <c r="F526" s="248">
        <v>49.74</v>
      </c>
      <c r="G526" s="248">
        <v>2.958</v>
      </c>
      <c r="H526" s="248">
        <v>4.56</v>
      </c>
      <c r="I526" s="248">
        <v>42.222</v>
      </c>
      <c r="J526" s="271">
        <v>3663.85</v>
      </c>
      <c r="K526" s="248">
        <v>33.76</v>
      </c>
      <c r="L526" s="271">
        <v>2765.48</v>
      </c>
      <c r="M526" s="141">
        <f t="shared" si="92"/>
        <v>0.012207645688994314</v>
      </c>
      <c r="N526" s="160">
        <v>318.934</v>
      </c>
      <c r="O526" s="143">
        <f t="shared" si="93"/>
        <v>3.893433270173713</v>
      </c>
      <c r="P526" s="164">
        <f t="shared" si="94"/>
        <v>732.4587413396588</v>
      </c>
      <c r="Q526" s="144">
        <f t="shared" si="95"/>
        <v>233.60599621042275</v>
      </c>
      <c r="S526" s="88"/>
      <c r="T526" s="88"/>
    </row>
    <row r="527" spans="1:20" ht="12.75">
      <c r="A527" s="932"/>
      <c r="B527" s="30">
        <v>9</v>
      </c>
      <c r="C527" s="158" t="s">
        <v>439</v>
      </c>
      <c r="D527" s="132">
        <v>13</v>
      </c>
      <c r="E527" s="132">
        <v>2009</v>
      </c>
      <c r="F527" s="248">
        <v>32.029</v>
      </c>
      <c r="G527" s="248">
        <v>1.071</v>
      </c>
      <c r="H527" s="248" t="s">
        <v>247</v>
      </c>
      <c r="I527" s="248">
        <v>30.958</v>
      </c>
      <c r="J527" s="271">
        <v>3628.96</v>
      </c>
      <c r="K527" s="248">
        <v>20.8</v>
      </c>
      <c r="L527" s="271">
        <v>1658.97</v>
      </c>
      <c r="M527" s="141">
        <f t="shared" si="92"/>
        <v>0.012537900022302996</v>
      </c>
      <c r="N527" s="160">
        <v>318.934</v>
      </c>
      <c r="O527" s="143">
        <f t="shared" si="93"/>
        <v>3.9987626057131838</v>
      </c>
      <c r="P527" s="164">
        <f t="shared" si="94"/>
        <v>752.2740013381798</v>
      </c>
      <c r="Q527" s="144">
        <f t="shared" si="95"/>
        <v>239.92575634279106</v>
      </c>
      <c r="S527" s="88"/>
      <c r="T527" s="88"/>
    </row>
    <row r="528" spans="1:20" ht="13.5" thickBot="1">
      <c r="A528" s="933"/>
      <c r="B528" s="63">
        <v>10</v>
      </c>
      <c r="C528" s="161" t="s">
        <v>441</v>
      </c>
      <c r="D528" s="133">
        <v>24</v>
      </c>
      <c r="E528" s="133">
        <v>2010</v>
      </c>
      <c r="F528" s="249">
        <v>15.0231</v>
      </c>
      <c r="G528" s="249" t="s">
        <v>247</v>
      </c>
      <c r="H528" s="249">
        <v>1.92</v>
      </c>
      <c r="I528" s="249">
        <v>13.1031</v>
      </c>
      <c r="J528" s="272">
        <v>1016.52</v>
      </c>
      <c r="K528" s="249">
        <v>13.1</v>
      </c>
      <c r="L528" s="272">
        <v>1016.52</v>
      </c>
      <c r="M528" s="174">
        <f t="shared" si="92"/>
        <v>0.012887105024987211</v>
      </c>
      <c r="N528" s="162">
        <v>318.934</v>
      </c>
      <c r="O528" s="175">
        <f t="shared" si="93"/>
        <v>4.110135954039271</v>
      </c>
      <c r="P528" s="273">
        <f t="shared" si="94"/>
        <v>773.2263014992327</v>
      </c>
      <c r="Q528" s="165">
        <f t="shared" si="95"/>
        <v>246.6081572423563</v>
      </c>
      <c r="S528" s="88"/>
      <c r="T528" s="88"/>
    </row>
    <row r="529" spans="1:20" ht="11.25" customHeight="1">
      <c r="A529" s="934" t="s">
        <v>29</v>
      </c>
      <c r="B529" s="743">
        <v>1</v>
      </c>
      <c r="C529" s="709" t="s">
        <v>359</v>
      </c>
      <c r="D529" s="710">
        <v>12</v>
      </c>
      <c r="E529" s="710">
        <v>2007</v>
      </c>
      <c r="F529" s="712">
        <v>12.252</v>
      </c>
      <c r="G529" s="712">
        <v>0.408</v>
      </c>
      <c r="H529" s="712" t="s">
        <v>247</v>
      </c>
      <c r="I529" s="711">
        <v>11.844</v>
      </c>
      <c r="J529" s="713">
        <v>1168.64</v>
      </c>
      <c r="K529" s="712">
        <v>11.05</v>
      </c>
      <c r="L529" s="713">
        <v>833</v>
      </c>
      <c r="M529" s="714">
        <f t="shared" si="92"/>
        <v>0.01326530612244898</v>
      </c>
      <c r="N529" s="715">
        <v>318.934</v>
      </c>
      <c r="O529" s="716">
        <f t="shared" si="93"/>
        <v>4.2307571428571435</v>
      </c>
      <c r="P529" s="716">
        <f t="shared" si="94"/>
        <v>795.9183673469389</v>
      </c>
      <c r="Q529" s="717">
        <f t="shared" si="95"/>
        <v>253.84542857142864</v>
      </c>
      <c r="S529" s="88"/>
      <c r="T529" s="88"/>
    </row>
    <row r="530" spans="1:20" ht="12.75" customHeight="1">
      <c r="A530" s="935"/>
      <c r="B530" s="725">
        <v>2</v>
      </c>
      <c r="C530" s="709" t="s">
        <v>248</v>
      </c>
      <c r="D530" s="710">
        <v>79</v>
      </c>
      <c r="E530" s="710">
        <v>2007</v>
      </c>
      <c r="F530" s="711">
        <v>103.802</v>
      </c>
      <c r="G530" s="711">
        <v>7.854</v>
      </c>
      <c r="H530" s="711">
        <v>8.08</v>
      </c>
      <c r="I530" s="711">
        <v>87.868</v>
      </c>
      <c r="J530" s="719">
        <v>6754.72</v>
      </c>
      <c r="K530" s="711">
        <v>69.94</v>
      </c>
      <c r="L530" s="719">
        <v>5232.2</v>
      </c>
      <c r="M530" s="714">
        <f t="shared" si="92"/>
        <v>0.013367226023470052</v>
      </c>
      <c r="N530" s="715">
        <v>318.934</v>
      </c>
      <c r="O530" s="716">
        <f t="shared" si="93"/>
        <v>4.2632628645693975</v>
      </c>
      <c r="P530" s="716">
        <f t="shared" si="94"/>
        <v>802.0335614082031</v>
      </c>
      <c r="Q530" s="717">
        <f t="shared" si="95"/>
        <v>255.79577187416388</v>
      </c>
      <c r="S530" s="88"/>
      <c r="T530" s="88"/>
    </row>
    <row r="531" spans="1:20" ht="12.75" customHeight="1">
      <c r="A531" s="935"/>
      <c r="B531" s="725">
        <v>3</v>
      </c>
      <c r="C531" s="709" t="s">
        <v>249</v>
      </c>
      <c r="D531" s="710">
        <v>50</v>
      </c>
      <c r="E531" s="710">
        <v>1970</v>
      </c>
      <c r="F531" s="711">
        <v>48.572</v>
      </c>
      <c r="G531" s="711">
        <v>5.253</v>
      </c>
      <c r="H531" s="711">
        <v>8</v>
      </c>
      <c r="I531" s="711">
        <v>35.319</v>
      </c>
      <c r="J531" s="719">
        <v>2565.37</v>
      </c>
      <c r="K531" s="711">
        <v>35.32</v>
      </c>
      <c r="L531" s="719">
        <v>2565.37</v>
      </c>
      <c r="M531" s="721">
        <f t="shared" si="92"/>
        <v>0.013767994480328375</v>
      </c>
      <c r="N531" s="715">
        <v>318.934</v>
      </c>
      <c r="O531" s="716">
        <f t="shared" si="93"/>
        <v>4.39108155158905</v>
      </c>
      <c r="P531" s="716">
        <f t="shared" si="94"/>
        <v>826.0796688197025</v>
      </c>
      <c r="Q531" s="722">
        <f t="shared" si="95"/>
        <v>263.46489309534303</v>
      </c>
      <c r="S531" s="88"/>
      <c r="T531" s="88"/>
    </row>
    <row r="532" spans="1:20" ht="12.75" customHeight="1">
      <c r="A532" s="935"/>
      <c r="B532" s="725">
        <v>4</v>
      </c>
      <c r="C532" s="709" t="s">
        <v>360</v>
      </c>
      <c r="D532" s="710">
        <v>50</v>
      </c>
      <c r="E532" s="710">
        <v>1971</v>
      </c>
      <c r="F532" s="711">
        <v>47.3</v>
      </c>
      <c r="G532" s="711">
        <v>3.57</v>
      </c>
      <c r="H532" s="711">
        <v>8</v>
      </c>
      <c r="I532" s="711">
        <v>35.73</v>
      </c>
      <c r="J532" s="719">
        <v>2592.75</v>
      </c>
      <c r="K532" s="711">
        <v>35.73</v>
      </c>
      <c r="L532" s="719">
        <v>2592.75</v>
      </c>
      <c r="M532" s="721">
        <f t="shared" si="92"/>
        <v>0.013780734741105003</v>
      </c>
      <c r="N532" s="715">
        <v>316.863</v>
      </c>
      <c r="O532" s="723">
        <f t="shared" si="93"/>
        <v>4.366604952270754</v>
      </c>
      <c r="P532" s="716">
        <f t="shared" si="94"/>
        <v>826.8440844663002</v>
      </c>
      <c r="Q532" s="722">
        <f t="shared" si="95"/>
        <v>261.9962971362453</v>
      </c>
      <c r="S532" s="88"/>
      <c r="T532" s="88"/>
    </row>
    <row r="533" spans="1:20" ht="12.75" customHeight="1">
      <c r="A533" s="935"/>
      <c r="B533" s="725">
        <v>5</v>
      </c>
      <c r="C533" s="709" t="s">
        <v>444</v>
      </c>
      <c r="D533" s="710">
        <v>50</v>
      </c>
      <c r="E533" s="710">
        <v>1970</v>
      </c>
      <c r="F533" s="711">
        <v>52.335</v>
      </c>
      <c r="G533" s="711">
        <v>5.508</v>
      </c>
      <c r="H533" s="711">
        <v>8</v>
      </c>
      <c r="I533" s="711">
        <v>38.827</v>
      </c>
      <c r="J533" s="719">
        <v>2665.28</v>
      </c>
      <c r="K533" s="711">
        <v>38.83</v>
      </c>
      <c r="L533" s="719">
        <v>2665.28</v>
      </c>
      <c r="M533" s="721">
        <f t="shared" si="92"/>
        <v>0.014568825789410492</v>
      </c>
      <c r="N533" s="715">
        <v>318.934</v>
      </c>
      <c r="O533" s="723">
        <f t="shared" si="93"/>
        <v>4.646493884319846</v>
      </c>
      <c r="P533" s="716">
        <f t="shared" si="94"/>
        <v>874.1295473646295</v>
      </c>
      <c r="Q533" s="722">
        <f t="shared" si="95"/>
        <v>278.78963305919075</v>
      </c>
      <c r="S533" s="88"/>
      <c r="T533" s="88"/>
    </row>
    <row r="534" spans="1:20" ht="12.75" customHeight="1">
      <c r="A534" s="935"/>
      <c r="B534" s="725">
        <v>6</v>
      </c>
      <c r="C534" s="709" t="s">
        <v>662</v>
      </c>
      <c r="D534" s="710">
        <v>50</v>
      </c>
      <c r="E534" s="710">
        <v>1971</v>
      </c>
      <c r="F534" s="711">
        <v>50.845</v>
      </c>
      <c r="G534" s="711">
        <v>4.3452</v>
      </c>
      <c r="H534" s="711">
        <v>8</v>
      </c>
      <c r="I534" s="711">
        <v>38.4998</v>
      </c>
      <c r="J534" s="719">
        <v>2635.3</v>
      </c>
      <c r="K534" s="711">
        <v>38.5</v>
      </c>
      <c r="L534" s="719">
        <v>2635.3</v>
      </c>
      <c r="M534" s="721">
        <f t="shared" si="92"/>
        <v>0.014609342389860737</v>
      </c>
      <c r="N534" s="715">
        <v>318.934</v>
      </c>
      <c r="O534" s="723">
        <f t="shared" si="93"/>
        <v>4.659416005767844</v>
      </c>
      <c r="P534" s="716">
        <f t="shared" si="94"/>
        <v>876.5605433916443</v>
      </c>
      <c r="Q534" s="722">
        <f t="shared" si="95"/>
        <v>279.5649603460707</v>
      </c>
      <c r="S534" s="88"/>
      <c r="T534" s="88"/>
    </row>
    <row r="535" spans="1:20" ht="12.75" customHeight="1">
      <c r="A535" s="935"/>
      <c r="B535" s="725">
        <v>7</v>
      </c>
      <c r="C535" s="709" t="s">
        <v>443</v>
      </c>
      <c r="D535" s="710">
        <v>50</v>
      </c>
      <c r="E535" s="710">
        <v>1972</v>
      </c>
      <c r="F535" s="711">
        <v>51.206</v>
      </c>
      <c r="G535" s="711">
        <v>4.59</v>
      </c>
      <c r="H535" s="711">
        <v>8</v>
      </c>
      <c r="I535" s="711">
        <v>38.616</v>
      </c>
      <c r="J535" s="719">
        <v>2623.9</v>
      </c>
      <c r="K535" s="711">
        <v>38.62</v>
      </c>
      <c r="L535" s="719">
        <v>2623.9</v>
      </c>
      <c r="M535" s="721">
        <f t="shared" si="92"/>
        <v>0.014718548725180074</v>
      </c>
      <c r="N535" s="715">
        <v>318.934</v>
      </c>
      <c r="O535" s="723">
        <f t="shared" si="93"/>
        <v>4.694245619116582</v>
      </c>
      <c r="P535" s="716">
        <f t="shared" si="94"/>
        <v>883.1129235108044</v>
      </c>
      <c r="Q535" s="722">
        <f t="shared" si="95"/>
        <v>281.65473714699493</v>
      </c>
      <c r="S535" s="88"/>
      <c r="T535" s="88"/>
    </row>
    <row r="536" spans="1:20" ht="12.75" customHeight="1">
      <c r="A536" s="935"/>
      <c r="B536" s="725">
        <v>8</v>
      </c>
      <c r="C536" s="709" t="s">
        <v>250</v>
      </c>
      <c r="D536" s="710">
        <v>42</v>
      </c>
      <c r="E536" s="710">
        <v>2005</v>
      </c>
      <c r="F536" s="711">
        <v>43.482</v>
      </c>
      <c r="G536" s="711">
        <v>1.683</v>
      </c>
      <c r="H536" s="711">
        <v>7.44</v>
      </c>
      <c r="I536" s="711">
        <v>34.359</v>
      </c>
      <c r="J536" s="719">
        <v>2222.7</v>
      </c>
      <c r="K536" s="711">
        <v>32.81</v>
      </c>
      <c r="L536" s="719">
        <v>2222.7</v>
      </c>
      <c r="M536" s="721">
        <f t="shared" si="92"/>
        <v>0.014761326314842312</v>
      </c>
      <c r="N536" s="715">
        <v>318.934</v>
      </c>
      <c r="O536" s="723">
        <f t="shared" si="93"/>
        <v>4.7078888468979185</v>
      </c>
      <c r="P536" s="716">
        <f t="shared" si="94"/>
        <v>885.6795788905388</v>
      </c>
      <c r="Q536" s="722">
        <f t="shared" si="95"/>
        <v>282.4733308138751</v>
      </c>
      <c r="S536" s="88"/>
      <c r="T536" s="88"/>
    </row>
    <row r="537" spans="1:20" ht="13.5" customHeight="1">
      <c r="A537" s="935"/>
      <c r="B537" s="725">
        <v>9</v>
      </c>
      <c r="C537" s="709" t="s">
        <v>445</v>
      </c>
      <c r="D537" s="710">
        <v>44</v>
      </c>
      <c r="E537" s="710">
        <v>1989</v>
      </c>
      <c r="F537" s="711">
        <v>40.277</v>
      </c>
      <c r="G537" s="711">
        <v>5.763</v>
      </c>
      <c r="H537" s="711">
        <v>6.72</v>
      </c>
      <c r="I537" s="711">
        <v>27.794</v>
      </c>
      <c r="J537" s="719">
        <v>2240.51</v>
      </c>
      <c r="K537" s="711">
        <v>26.78</v>
      </c>
      <c r="L537" s="719">
        <v>1785.78</v>
      </c>
      <c r="M537" s="721">
        <f t="shared" si="92"/>
        <v>0.01499624813806852</v>
      </c>
      <c r="N537" s="715">
        <v>318.934</v>
      </c>
      <c r="O537" s="723">
        <f t="shared" si="93"/>
        <v>4.782813403666746</v>
      </c>
      <c r="P537" s="716">
        <f t="shared" si="94"/>
        <v>899.7748882841113</v>
      </c>
      <c r="Q537" s="722">
        <f t="shared" si="95"/>
        <v>286.96880422000476</v>
      </c>
      <c r="S537" s="88"/>
      <c r="T537" s="88"/>
    </row>
    <row r="538" spans="1:20" ht="13.5" customHeight="1" thickBot="1">
      <c r="A538" s="936"/>
      <c r="B538" s="734">
        <v>10</v>
      </c>
      <c r="C538" s="745" t="s">
        <v>251</v>
      </c>
      <c r="D538" s="746">
        <v>55</v>
      </c>
      <c r="E538" s="746">
        <v>1968</v>
      </c>
      <c r="F538" s="747">
        <v>51.787</v>
      </c>
      <c r="G538" s="747">
        <v>4.641</v>
      </c>
      <c r="H538" s="747">
        <v>8.8</v>
      </c>
      <c r="I538" s="747">
        <v>38.346</v>
      </c>
      <c r="J538" s="748">
        <v>2555.52</v>
      </c>
      <c r="K538" s="747">
        <v>38.35</v>
      </c>
      <c r="L538" s="748">
        <v>2555.52</v>
      </c>
      <c r="M538" s="749">
        <f t="shared" si="92"/>
        <v>0.015006730528424744</v>
      </c>
      <c r="N538" s="757">
        <v>318.934</v>
      </c>
      <c r="O538" s="750">
        <f t="shared" si="93"/>
        <v>4.786156594352618</v>
      </c>
      <c r="P538" s="750">
        <f t="shared" si="94"/>
        <v>900.4038317054847</v>
      </c>
      <c r="Q538" s="751">
        <f t="shared" si="95"/>
        <v>287.16939566115707</v>
      </c>
      <c r="S538" s="88"/>
      <c r="T538" s="88"/>
    </row>
    <row r="539" spans="1:20" ht="12.75">
      <c r="A539" s="937" t="s">
        <v>46</v>
      </c>
      <c r="B539" s="82">
        <v>1</v>
      </c>
      <c r="C539" s="215" t="s">
        <v>663</v>
      </c>
      <c r="D539" s="217">
        <v>51</v>
      </c>
      <c r="E539" s="217">
        <v>1968</v>
      </c>
      <c r="F539" s="313">
        <v>44.164</v>
      </c>
      <c r="G539" s="313">
        <v>6.55095</v>
      </c>
      <c r="H539" s="313" t="s">
        <v>247</v>
      </c>
      <c r="I539" s="313">
        <v>37.61305</v>
      </c>
      <c r="J539" s="276">
        <v>1363.82</v>
      </c>
      <c r="K539" s="313">
        <v>37.61</v>
      </c>
      <c r="L539" s="390">
        <v>1363.82</v>
      </c>
      <c r="M539" s="209">
        <f t="shared" si="92"/>
        <v>0.02757695297033333</v>
      </c>
      <c r="N539" s="220">
        <v>318.934</v>
      </c>
      <c r="O539" s="208">
        <f t="shared" si="93"/>
        <v>8.795227918640292</v>
      </c>
      <c r="P539" s="208">
        <f t="shared" si="94"/>
        <v>1654.6171782199997</v>
      </c>
      <c r="Q539" s="210">
        <f t="shared" si="95"/>
        <v>527.7136751184174</v>
      </c>
      <c r="S539" s="88"/>
      <c r="T539" s="88"/>
    </row>
    <row r="540" spans="1:20" ht="12.75">
      <c r="A540" s="938"/>
      <c r="B540" s="34">
        <v>2</v>
      </c>
      <c r="C540" s="205" t="s">
        <v>664</v>
      </c>
      <c r="D540" s="135">
        <v>12</v>
      </c>
      <c r="E540" s="135"/>
      <c r="F540" s="222">
        <v>14.5764</v>
      </c>
      <c r="G540" s="222">
        <v>0.4335</v>
      </c>
      <c r="H540" s="222">
        <v>1.92</v>
      </c>
      <c r="I540" s="222">
        <v>12.2229</v>
      </c>
      <c r="J540" s="277">
        <v>440.78</v>
      </c>
      <c r="K540" s="222">
        <v>12.22</v>
      </c>
      <c r="L540" s="277">
        <v>440.78</v>
      </c>
      <c r="M540" s="146">
        <f t="shared" si="92"/>
        <v>0.027723580924724354</v>
      </c>
      <c r="N540" s="220">
        <v>318.934</v>
      </c>
      <c r="O540" s="148">
        <f t="shared" si="93"/>
        <v>8.841992558646037</v>
      </c>
      <c r="P540" s="208">
        <f t="shared" si="94"/>
        <v>1663.4148554834612</v>
      </c>
      <c r="Q540" s="149">
        <f t="shared" si="95"/>
        <v>530.5195535187622</v>
      </c>
      <c r="S540" s="88"/>
      <c r="T540" s="88"/>
    </row>
    <row r="541" spans="1:20" ht="12.75">
      <c r="A541" s="938"/>
      <c r="B541" s="34">
        <v>3</v>
      </c>
      <c r="C541" s="205" t="s">
        <v>253</v>
      </c>
      <c r="D541" s="135">
        <v>30</v>
      </c>
      <c r="E541" s="135">
        <v>1977</v>
      </c>
      <c r="F541" s="222">
        <v>38.714</v>
      </c>
      <c r="G541" s="222">
        <v>2.0502</v>
      </c>
      <c r="H541" s="222">
        <v>4.64</v>
      </c>
      <c r="I541" s="222">
        <v>32.0238</v>
      </c>
      <c r="J541" s="277">
        <v>1147.68</v>
      </c>
      <c r="K541" s="222">
        <v>32.02</v>
      </c>
      <c r="L541" s="277">
        <v>1147.68</v>
      </c>
      <c r="M541" s="146">
        <f t="shared" si="92"/>
        <v>0.027899763000139414</v>
      </c>
      <c r="N541" s="220">
        <v>318.934</v>
      </c>
      <c r="O541" s="148">
        <f t="shared" si="93"/>
        <v>8.898183012686465</v>
      </c>
      <c r="P541" s="208">
        <f t="shared" si="94"/>
        <v>1673.9857800083648</v>
      </c>
      <c r="Q541" s="149">
        <f t="shared" si="95"/>
        <v>533.8909807611878</v>
      </c>
      <c r="S541" s="88"/>
      <c r="T541" s="88"/>
    </row>
    <row r="542" spans="1:20" ht="12.75">
      <c r="A542" s="938"/>
      <c r="B542" s="34">
        <v>4</v>
      </c>
      <c r="C542" s="205" t="s">
        <v>665</v>
      </c>
      <c r="D542" s="135">
        <v>12</v>
      </c>
      <c r="E542" s="135">
        <v>1960</v>
      </c>
      <c r="F542" s="222">
        <v>17.3996</v>
      </c>
      <c r="G542" s="222">
        <v>0.51</v>
      </c>
      <c r="H542" s="222">
        <v>1.92</v>
      </c>
      <c r="I542" s="222">
        <v>14.9696</v>
      </c>
      <c r="J542" s="277">
        <v>532.26</v>
      </c>
      <c r="K542" s="222">
        <v>14.97</v>
      </c>
      <c r="L542" s="277">
        <v>532.26</v>
      </c>
      <c r="M542" s="146">
        <f t="shared" si="92"/>
        <v>0.02812535227144629</v>
      </c>
      <c r="N542" s="220">
        <v>318.934</v>
      </c>
      <c r="O542" s="148">
        <f t="shared" si="93"/>
        <v>8.970131101341451</v>
      </c>
      <c r="P542" s="208">
        <f t="shared" si="94"/>
        <v>1687.5211362867772</v>
      </c>
      <c r="Q542" s="149">
        <f t="shared" si="95"/>
        <v>538.2078660804871</v>
      </c>
      <c r="S542" s="88"/>
      <c r="T542" s="88"/>
    </row>
    <row r="543" spans="1:20" ht="12.75">
      <c r="A543" s="938"/>
      <c r="B543" s="34">
        <v>5</v>
      </c>
      <c r="C543" s="205" t="s">
        <v>361</v>
      </c>
      <c r="D543" s="135">
        <v>45</v>
      </c>
      <c r="E543" s="135">
        <v>1973</v>
      </c>
      <c r="F543" s="222">
        <v>33.25</v>
      </c>
      <c r="G543" s="222" t="s">
        <v>247</v>
      </c>
      <c r="H543" s="222" t="s">
        <v>247</v>
      </c>
      <c r="I543" s="222">
        <v>33.25</v>
      </c>
      <c r="J543" s="277">
        <v>1179.28</v>
      </c>
      <c r="K543" s="222">
        <v>33.25</v>
      </c>
      <c r="L543" s="277">
        <v>1179.28</v>
      </c>
      <c r="M543" s="146">
        <f t="shared" si="92"/>
        <v>0.02819516993419714</v>
      </c>
      <c r="N543" s="220">
        <v>318.934</v>
      </c>
      <c r="O543" s="148">
        <f t="shared" si="93"/>
        <v>8.99239832779323</v>
      </c>
      <c r="P543" s="208">
        <f t="shared" si="94"/>
        <v>1691.7101960518285</v>
      </c>
      <c r="Q543" s="149">
        <f t="shared" si="95"/>
        <v>539.5438996675939</v>
      </c>
      <c r="S543" s="88"/>
      <c r="T543" s="88"/>
    </row>
    <row r="544" spans="1:20" ht="12.75">
      <c r="A544" s="938"/>
      <c r="B544" s="34">
        <v>6</v>
      </c>
      <c r="C544" s="205" t="s">
        <v>447</v>
      </c>
      <c r="D544" s="135">
        <v>18</v>
      </c>
      <c r="E544" s="135">
        <v>1983</v>
      </c>
      <c r="F544" s="222">
        <v>25.797</v>
      </c>
      <c r="G544" s="222">
        <v>0.8415</v>
      </c>
      <c r="H544" s="222">
        <v>3.05</v>
      </c>
      <c r="I544" s="222">
        <v>21.9055</v>
      </c>
      <c r="J544" s="277">
        <v>773.56</v>
      </c>
      <c r="K544" s="222">
        <v>18.01</v>
      </c>
      <c r="L544" s="277">
        <v>636.06</v>
      </c>
      <c r="M544" s="146">
        <f t="shared" si="92"/>
        <v>0.028314938842247592</v>
      </c>
      <c r="N544" s="220">
        <v>318.934</v>
      </c>
      <c r="O544" s="148">
        <f t="shared" si="93"/>
        <v>9.030596704713394</v>
      </c>
      <c r="P544" s="208">
        <f t="shared" si="94"/>
        <v>1698.8963305348555</v>
      </c>
      <c r="Q544" s="149">
        <f t="shared" si="95"/>
        <v>541.8358022828036</v>
      </c>
      <c r="S544" s="88"/>
      <c r="T544" s="88"/>
    </row>
    <row r="545" spans="1:20" ht="12.75">
      <c r="A545" s="938"/>
      <c r="B545" s="34">
        <v>7</v>
      </c>
      <c r="C545" s="205" t="s">
        <v>446</v>
      </c>
      <c r="D545" s="135">
        <v>51</v>
      </c>
      <c r="E545" s="135">
        <v>1986</v>
      </c>
      <c r="F545" s="222">
        <v>63.975</v>
      </c>
      <c r="G545" s="222">
        <v>4.871979</v>
      </c>
      <c r="H545" s="222">
        <v>6.79</v>
      </c>
      <c r="I545" s="222">
        <v>52.313021</v>
      </c>
      <c r="J545" s="277">
        <v>1842.82</v>
      </c>
      <c r="K545" s="222">
        <v>52.31</v>
      </c>
      <c r="L545" s="277">
        <v>1842.82</v>
      </c>
      <c r="M545" s="146">
        <f t="shared" si="92"/>
        <v>0.02838584343560413</v>
      </c>
      <c r="N545" s="220">
        <v>318.934</v>
      </c>
      <c r="O545" s="148">
        <f t="shared" si="93"/>
        <v>9.053210590290968</v>
      </c>
      <c r="P545" s="208">
        <f t="shared" si="94"/>
        <v>1703.150606136248</v>
      </c>
      <c r="Q545" s="149">
        <f t="shared" si="95"/>
        <v>543.1926354174582</v>
      </c>
      <c r="S545" s="88"/>
      <c r="T545" s="88"/>
    </row>
    <row r="546" spans="1:20" ht="12.75">
      <c r="A546" s="938"/>
      <c r="B546" s="34">
        <v>8</v>
      </c>
      <c r="C546" s="205" t="s">
        <v>666</v>
      </c>
      <c r="D546" s="135">
        <v>8</v>
      </c>
      <c r="E546" s="135">
        <v>1987</v>
      </c>
      <c r="F546" s="222">
        <v>15.697</v>
      </c>
      <c r="G546" s="222">
        <v>0.9078</v>
      </c>
      <c r="H546" s="222">
        <v>1.28</v>
      </c>
      <c r="I546" s="222">
        <v>13.5092</v>
      </c>
      <c r="J546" s="277">
        <v>462.29</v>
      </c>
      <c r="K546" s="222">
        <v>13.51</v>
      </c>
      <c r="L546" s="277">
        <v>462.29</v>
      </c>
      <c r="M546" s="146">
        <f t="shared" si="92"/>
        <v>0.0292240801228666</v>
      </c>
      <c r="N546" s="220">
        <v>318.934</v>
      </c>
      <c r="O546" s="148">
        <f t="shared" si="93"/>
        <v>9.320552769906337</v>
      </c>
      <c r="P546" s="208">
        <f t="shared" si="94"/>
        <v>1753.444807371996</v>
      </c>
      <c r="Q546" s="149">
        <f t="shared" si="95"/>
        <v>559.2331661943801</v>
      </c>
      <c r="S546" s="88"/>
      <c r="T546" s="88"/>
    </row>
    <row r="547" spans="1:20" ht="12.75">
      <c r="A547" s="939"/>
      <c r="B547" s="75">
        <v>9</v>
      </c>
      <c r="C547" s="205" t="s">
        <v>255</v>
      </c>
      <c r="D547" s="135">
        <v>10</v>
      </c>
      <c r="E547" s="135">
        <v>1940</v>
      </c>
      <c r="F547" s="222">
        <v>9.938</v>
      </c>
      <c r="G547" s="222" t="s">
        <v>247</v>
      </c>
      <c r="H547" s="222" t="s">
        <v>247</v>
      </c>
      <c r="I547" s="222">
        <v>9.938</v>
      </c>
      <c r="J547" s="277">
        <v>339.31</v>
      </c>
      <c r="K547" s="222">
        <v>9.94</v>
      </c>
      <c r="L547" s="277">
        <v>339.31</v>
      </c>
      <c r="M547" s="146">
        <f t="shared" si="92"/>
        <v>0.02929474521823701</v>
      </c>
      <c r="N547" s="220">
        <v>318.934</v>
      </c>
      <c r="O547" s="148">
        <f t="shared" si="93"/>
        <v>9.343090271433203</v>
      </c>
      <c r="P547" s="208">
        <f t="shared" si="94"/>
        <v>1757.6847130942206</v>
      </c>
      <c r="Q547" s="149">
        <f t="shared" si="95"/>
        <v>560.5854162859921</v>
      </c>
      <c r="S547" s="88"/>
      <c r="T547" s="88"/>
    </row>
    <row r="548" spans="1:20" ht="13.5" thickBot="1">
      <c r="A548" s="940"/>
      <c r="B548" s="36">
        <v>10</v>
      </c>
      <c r="C548" s="216" t="s">
        <v>365</v>
      </c>
      <c r="D548" s="136">
        <v>12</v>
      </c>
      <c r="E548" s="136">
        <v>1969</v>
      </c>
      <c r="F548" s="312">
        <v>16.571</v>
      </c>
      <c r="G548" s="312">
        <v>0.816</v>
      </c>
      <c r="H548" s="312" t="s">
        <v>247</v>
      </c>
      <c r="I548" s="312">
        <v>15.755</v>
      </c>
      <c r="J548" s="278">
        <v>534.97</v>
      </c>
      <c r="K548" s="312">
        <v>15.75</v>
      </c>
      <c r="L548" s="278">
        <v>534.97</v>
      </c>
      <c r="M548" s="211">
        <f t="shared" si="92"/>
        <v>0.029440903228218403</v>
      </c>
      <c r="N548" s="221">
        <v>318.934</v>
      </c>
      <c r="O548" s="212">
        <f t="shared" si="93"/>
        <v>9.389705030188608</v>
      </c>
      <c r="P548" s="212">
        <f t="shared" si="94"/>
        <v>1766.4541936931041</v>
      </c>
      <c r="Q548" s="213">
        <f t="shared" si="95"/>
        <v>563.3823018113166</v>
      </c>
      <c r="S548" s="88"/>
      <c r="T548" s="88"/>
    </row>
    <row r="549" spans="1:20" ht="12.75">
      <c r="A549" s="941" t="s">
        <v>12</v>
      </c>
      <c r="B549" s="79">
        <v>1</v>
      </c>
      <c r="C549" s="166" t="s">
        <v>363</v>
      </c>
      <c r="D549" s="167">
        <v>10</v>
      </c>
      <c r="E549" s="167">
        <v>1958</v>
      </c>
      <c r="F549" s="250">
        <v>13.0557</v>
      </c>
      <c r="G549" s="250" t="s">
        <v>247</v>
      </c>
      <c r="H549" s="250" t="s">
        <v>247</v>
      </c>
      <c r="I549" s="250">
        <v>13.0557</v>
      </c>
      <c r="J549" s="274">
        <v>439.06</v>
      </c>
      <c r="K549" s="250">
        <v>13.06</v>
      </c>
      <c r="L549" s="391">
        <v>439.06</v>
      </c>
      <c r="M549" s="170">
        <f t="shared" si="92"/>
        <v>0.02974536509816426</v>
      </c>
      <c r="N549" s="168">
        <v>318.934</v>
      </c>
      <c r="O549" s="171">
        <f t="shared" si="93"/>
        <v>9.486808272217921</v>
      </c>
      <c r="P549" s="171">
        <f t="shared" si="94"/>
        <v>1784.7219058898556</v>
      </c>
      <c r="Q549" s="172">
        <f t="shared" si="95"/>
        <v>569.2084963330752</v>
      </c>
      <c r="S549" s="88"/>
      <c r="T549" s="88"/>
    </row>
    <row r="550" spans="1:20" ht="12.75">
      <c r="A550" s="942"/>
      <c r="B550" s="41">
        <v>2</v>
      </c>
      <c r="C550" s="169" t="s">
        <v>667</v>
      </c>
      <c r="D550" s="137">
        <v>20</v>
      </c>
      <c r="E550" s="137">
        <v>1987</v>
      </c>
      <c r="F550" s="218">
        <v>27.282</v>
      </c>
      <c r="G550" s="218">
        <v>1.479</v>
      </c>
      <c r="H550" s="218">
        <v>3.2</v>
      </c>
      <c r="I550" s="218">
        <v>22.603</v>
      </c>
      <c r="J550" s="275">
        <v>750.77</v>
      </c>
      <c r="K550" s="218">
        <v>20.37</v>
      </c>
      <c r="L550" s="275">
        <v>676.71</v>
      </c>
      <c r="M550" s="150">
        <f t="shared" si="92"/>
        <v>0.03010152059227734</v>
      </c>
      <c r="N550" s="168">
        <v>318.934</v>
      </c>
      <c r="O550" s="152">
        <f t="shared" si="93"/>
        <v>9.600398368577382</v>
      </c>
      <c r="P550" s="171">
        <f t="shared" si="94"/>
        <v>1806.0912355366406</v>
      </c>
      <c r="Q550" s="153">
        <f t="shared" si="95"/>
        <v>576.023902114643</v>
      </c>
      <c r="S550" s="88"/>
      <c r="T550" s="88"/>
    </row>
    <row r="551" spans="1:20" ht="12.75">
      <c r="A551" s="942"/>
      <c r="B551" s="41">
        <v>3</v>
      </c>
      <c r="C551" s="169" t="s">
        <v>448</v>
      </c>
      <c r="D551" s="137">
        <v>12</v>
      </c>
      <c r="E551" s="137">
        <v>1967</v>
      </c>
      <c r="F551" s="218">
        <v>17.9872</v>
      </c>
      <c r="G551" s="218">
        <v>1.887</v>
      </c>
      <c r="H551" s="218"/>
      <c r="I551" s="218">
        <v>16.1002</v>
      </c>
      <c r="J551" s="275">
        <v>529.73</v>
      </c>
      <c r="K551" s="218">
        <v>16.1</v>
      </c>
      <c r="L551" s="275">
        <v>529.73</v>
      </c>
      <c r="M551" s="150">
        <f t="shared" si="92"/>
        <v>0.03039284163630529</v>
      </c>
      <c r="N551" s="168">
        <v>318.934</v>
      </c>
      <c r="O551" s="152">
        <f t="shared" si="93"/>
        <v>9.693310554433392</v>
      </c>
      <c r="P551" s="171">
        <f t="shared" si="94"/>
        <v>1823.5704981783174</v>
      </c>
      <c r="Q551" s="153">
        <f t="shared" si="95"/>
        <v>581.5986332660036</v>
      </c>
      <c r="S551" s="88"/>
      <c r="T551" s="88"/>
    </row>
    <row r="552" spans="1:20" ht="12.75">
      <c r="A552" s="942"/>
      <c r="B552" s="41">
        <v>4</v>
      </c>
      <c r="C552" s="169" t="s">
        <v>252</v>
      </c>
      <c r="D552" s="137">
        <v>20</v>
      </c>
      <c r="E552" s="137">
        <v>1967</v>
      </c>
      <c r="F552" s="218">
        <v>27.535</v>
      </c>
      <c r="G552" s="218">
        <v>0.9435</v>
      </c>
      <c r="H552" s="218">
        <v>3.21</v>
      </c>
      <c r="I552" s="218">
        <v>23.3815</v>
      </c>
      <c r="J552" s="275">
        <v>766.34</v>
      </c>
      <c r="K552" s="218">
        <v>20.99</v>
      </c>
      <c r="L552" s="275">
        <v>687.87</v>
      </c>
      <c r="M552" s="150">
        <f t="shared" si="92"/>
        <v>0.030514486748949653</v>
      </c>
      <c r="N552" s="168">
        <v>318.934</v>
      </c>
      <c r="O552" s="152">
        <f t="shared" si="93"/>
        <v>9.73210731678951</v>
      </c>
      <c r="P552" s="171">
        <f t="shared" si="94"/>
        <v>1830.8692049369793</v>
      </c>
      <c r="Q552" s="153">
        <f t="shared" si="95"/>
        <v>583.9264390073706</v>
      </c>
      <c r="S552" s="88"/>
      <c r="T552" s="88"/>
    </row>
    <row r="553" spans="1:20" ht="12.75">
      <c r="A553" s="942"/>
      <c r="B553" s="41">
        <v>5</v>
      </c>
      <c r="C553" s="169" t="s">
        <v>367</v>
      </c>
      <c r="D553" s="137">
        <v>27</v>
      </c>
      <c r="E553" s="137">
        <v>1977</v>
      </c>
      <c r="F553" s="218">
        <v>15.889</v>
      </c>
      <c r="G553" s="218" t="s">
        <v>247</v>
      </c>
      <c r="H553" s="218" t="s">
        <v>247</v>
      </c>
      <c r="I553" s="218">
        <v>15.889</v>
      </c>
      <c r="J553" s="275">
        <v>574.25</v>
      </c>
      <c r="K553" s="218">
        <v>14.39</v>
      </c>
      <c r="L553" s="275">
        <v>471.37</v>
      </c>
      <c r="M553" s="150">
        <f t="shared" si="92"/>
        <v>0.030528035301355623</v>
      </c>
      <c r="N553" s="168">
        <v>318.934</v>
      </c>
      <c r="O553" s="152">
        <f t="shared" si="93"/>
        <v>9.736428410802555</v>
      </c>
      <c r="P553" s="171">
        <f t="shared" si="94"/>
        <v>1831.6821180813374</v>
      </c>
      <c r="Q553" s="153">
        <f t="shared" si="95"/>
        <v>584.1857046481533</v>
      </c>
      <c r="S553" s="88"/>
      <c r="T553" s="88"/>
    </row>
    <row r="554" spans="1:20" ht="12.75">
      <c r="A554" s="942"/>
      <c r="B554" s="41">
        <v>6</v>
      </c>
      <c r="C554" s="169" t="s">
        <v>668</v>
      </c>
      <c r="D554" s="137">
        <v>17</v>
      </c>
      <c r="E554" s="137">
        <v>1976</v>
      </c>
      <c r="F554" s="218">
        <v>20.569</v>
      </c>
      <c r="G554" s="218" t="s">
        <v>247</v>
      </c>
      <c r="H554" s="218" t="s">
        <v>247</v>
      </c>
      <c r="I554" s="218">
        <v>20.569</v>
      </c>
      <c r="J554" s="275">
        <v>658.78</v>
      </c>
      <c r="K554" s="218">
        <v>20.57</v>
      </c>
      <c r="L554" s="275">
        <v>658.78</v>
      </c>
      <c r="M554" s="150">
        <f t="shared" si="92"/>
        <v>0.031224384468259512</v>
      </c>
      <c r="N554" s="168">
        <v>318.934</v>
      </c>
      <c r="O554" s="152">
        <f t="shared" si="93"/>
        <v>9.95851783599988</v>
      </c>
      <c r="P554" s="171">
        <f t="shared" si="94"/>
        <v>1873.4630680955706</v>
      </c>
      <c r="Q554" s="153">
        <f t="shared" si="95"/>
        <v>597.5110701599928</v>
      </c>
      <c r="S554" s="88"/>
      <c r="T554" s="88"/>
    </row>
    <row r="555" spans="1:20" ht="12.75">
      <c r="A555" s="942"/>
      <c r="B555" s="41">
        <v>7</v>
      </c>
      <c r="C555" s="169" t="s">
        <v>364</v>
      </c>
      <c r="D555" s="137">
        <v>18</v>
      </c>
      <c r="E555" s="137">
        <v>1974</v>
      </c>
      <c r="F555" s="218">
        <v>26.201</v>
      </c>
      <c r="G555" s="218">
        <v>1.122</v>
      </c>
      <c r="H555" s="218" t="s">
        <v>247</v>
      </c>
      <c r="I555" s="218">
        <v>25.079</v>
      </c>
      <c r="J555" s="275">
        <v>799.56</v>
      </c>
      <c r="K555" s="218">
        <v>25.08</v>
      </c>
      <c r="L555" s="275">
        <v>799.56</v>
      </c>
      <c r="M555" s="150">
        <f t="shared" si="92"/>
        <v>0.031367251988593726</v>
      </c>
      <c r="N555" s="168">
        <v>318.934</v>
      </c>
      <c r="O555" s="152">
        <f t="shared" si="93"/>
        <v>10.004083145730153</v>
      </c>
      <c r="P555" s="171">
        <f t="shared" si="94"/>
        <v>1882.0351193156234</v>
      </c>
      <c r="Q555" s="153">
        <f t="shared" si="95"/>
        <v>600.244988743809</v>
      </c>
      <c r="S555" s="88"/>
      <c r="T555" s="88"/>
    </row>
    <row r="556" spans="1:20" ht="12.75">
      <c r="A556" s="942"/>
      <c r="B556" s="41">
        <v>8</v>
      </c>
      <c r="C556" s="169" t="s">
        <v>362</v>
      </c>
      <c r="D556" s="137">
        <v>20</v>
      </c>
      <c r="E556" s="137">
        <v>1978</v>
      </c>
      <c r="F556" s="218">
        <v>28.316</v>
      </c>
      <c r="G556" s="218">
        <v>2.193408</v>
      </c>
      <c r="H556" s="218">
        <v>3.21</v>
      </c>
      <c r="I556" s="218">
        <v>22.912582</v>
      </c>
      <c r="J556" s="275">
        <v>775.71</v>
      </c>
      <c r="K556" s="218">
        <v>22.47</v>
      </c>
      <c r="L556" s="275">
        <v>700.2</v>
      </c>
      <c r="M556" s="150">
        <f t="shared" si="92"/>
        <v>0.03209083119108826</v>
      </c>
      <c r="N556" s="168">
        <v>318.934</v>
      </c>
      <c r="O556" s="152">
        <f t="shared" si="93"/>
        <v>10.234857155098544</v>
      </c>
      <c r="P556" s="171">
        <f t="shared" si="94"/>
        <v>1925.4498714652955</v>
      </c>
      <c r="Q556" s="153">
        <f t="shared" si="95"/>
        <v>614.0914293059126</v>
      </c>
      <c r="S556" s="88"/>
      <c r="T556" s="88"/>
    </row>
    <row r="557" spans="1:20" ht="12.75">
      <c r="A557" s="942"/>
      <c r="B557" s="41">
        <v>9</v>
      </c>
      <c r="C557" s="169" t="s">
        <v>254</v>
      </c>
      <c r="D557" s="137">
        <v>13</v>
      </c>
      <c r="E557" s="137">
        <v>1940</v>
      </c>
      <c r="F557" s="218">
        <v>13.454</v>
      </c>
      <c r="G557" s="218" t="s">
        <v>247</v>
      </c>
      <c r="H557" s="218" t="s">
        <v>247</v>
      </c>
      <c r="I557" s="218">
        <v>13.454</v>
      </c>
      <c r="J557" s="275">
        <v>414.47</v>
      </c>
      <c r="K557" s="218">
        <v>13.45</v>
      </c>
      <c r="L557" s="275">
        <v>414.47</v>
      </c>
      <c r="M557" s="150">
        <f t="shared" si="92"/>
        <v>0.0324510821048568</v>
      </c>
      <c r="N557" s="168">
        <v>318.934</v>
      </c>
      <c r="O557" s="152">
        <f t="shared" si="93"/>
        <v>10.3497534200304</v>
      </c>
      <c r="P557" s="171">
        <f t="shared" si="94"/>
        <v>1947.0649262914083</v>
      </c>
      <c r="Q557" s="153">
        <f t="shared" si="95"/>
        <v>620.9852052018241</v>
      </c>
      <c r="S557" s="88"/>
      <c r="T557" s="88"/>
    </row>
    <row r="558" spans="1:20" ht="13.5" thickBot="1">
      <c r="A558" s="943"/>
      <c r="B558" s="45">
        <v>10</v>
      </c>
      <c r="C558" s="214" t="s">
        <v>366</v>
      </c>
      <c r="D558" s="138">
        <v>11</v>
      </c>
      <c r="E558" s="138">
        <v>1966</v>
      </c>
      <c r="F558" s="251">
        <v>13.649</v>
      </c>
      <c r="G558" s="251">
        <v>1.120164</v>
      </c>
      <c r="H558" s="251" t="s">
        <v>247</v>
      </c>
      <c r="I558" s="251">
        <v>12.528836</v>
      </c>
      <c r="J558" s="365">
        <v>517.52</v>
      </c>
      <c r="K558" s="218">
        <v>11.76</v>
      </c>
      <c r="L558" s="365">
        <v>340.38</v>
      </c>
      <c r="M558" s="154">
        <f t="shared" si="92"/>
        <v>0.034549621011810326</v>
      </c>
      <c r="N558" s="155">
        <v>318.934</v>
      </c>
      <c r="O558" s="156">
        <f t="shared" si="93"/>
        <v>11.019048827780715</v>
      </c>
      <c r="P558" s="156">
        <f t="shared" si="94"/>
        <v>2072.9772607086193</v>
      </c>
      <c r="Q558" s="157">
        <f t="shared" si="95"/>
        <v>661.1429296668427</v>
      </c>
      <c r="S558" s="88"/>
      <c r="T558" s="88"/>
    </row>
    <row r="559" spans="19:20" ht="12.75">
      <c r="S559" s="88"/>
      <c r="T559" s="88"/>
    </row>
    <row r="560" spans="19:20" ht="12.75">
      <c r="S560" s="88"/>
      <c r="T560" s="88"/>
    </row>
    <row r="561" spans="19:20" ht="12.75">
      <c r="S561" s="88"/>
      <c r="T561" s="88"/>
    </row>
    <row r="562" spans="1:20" s="17" customFormat="1" ht="15">
      <c r="A562" s="1034" t="s">
        <v>39</v>
      </c>
      <c r="B562" s="1034"/>
      <c r="C562" s="1034"/>
      <c r="D562" s="1034"/>
      <c r="E562" s="1034"/>
      <c r="F562" s="1034"/>
      <c r="G562" s="1034"/>
      <c r="H562" s="1034"/>
      <c r="I562" s="1034"/>
      <c r="J562" s="1034"/>
      <c r="K562" s="1034"/>
      <c r="L562" s="1034"/>
      <c r="M562" s="1034"/>
      <c r="N562" s="1034"/>
      <c r="O562" s="1034"/>
      <c r="P562" s="1034"/>
      <c r="Q562" s="1034"/>
      <c r="S562" s="88"/>
      <c r="T562" s="88"/>
    </row>
    <row r="563" spans="1:20" s="17" customFormat="1" ht="13.5" customHeight="1" thickBot="1">
      <c r="A563" s="1033" t="s">
        <v>669</v>
      </c>
      <c r="B563" s="1033"/>
      <c r="C563" s="1033"/>
      <c r="D563" s="1033"/>
      <c r="E563" s="1033"/>
      <c r="F563" s="1033"/>
      <c r="G563" s="1033"/>
      <c r="H563" s="1033"/>
      <c r="I563" s="1033"/>
      <c r="J563" s="1033"/>
      <c r="K563" s="1033"/>
      <c r="L563" s="1033"/>
      <c r="M563" s="1033"/>
      <c r="N563" s="1033"/>
      <c r="O563" s="1033"/>
      <c r="P563" s="1033"/>
      <c r="Q563" s="1033"/>
      <c r="S563" s="88"/>
      <c r="T563" s="88"/>
    </row>
    <row r="564" spans="1:20" ht="12.75" customHeight="1">
      <c r="A564" s="952" t="s">
        <v>1</v>
      </c>
      <c r="B564" s="955" t="s">
        <v>0</v>
      </c>
      <c r="C564" s="944" t="s">
        <v>2</v>
      </c>
      <c r="D564" s="944" t="s">
        <v>3</v>
      </c>
      <c r="E564" s="944" t="s">
        <v>13</v>
      </c>
      <c r="F564" s="960" t="s">
        <v>14</v>
      </c>
      <c r="G564" s="961"/>
      <c r="H564" s="961"/>
      <c r="I564" s="962"/>
      <c r="J564" s="944" t="s">
        <v>4</v>
      </c>
      <c r="K564" s="944" t="s">
        <v>15</v>
      </c>
      <c r="L564" s="944" t="s">
        <v>5</v>
      </c>
      <c r="M564" s="944" t="s">
        <v>6</v>
      </c>
      <c r="N564" s="944" t="s">
        <v>16</v>
      </c>
      <c r="O564" s="969" t="s">
        <v>17</v>
      </c>
      <c r="P564" s="944" t="s">
        <v>25</v>
      </c>
      <c r="Q564" s="929" t="s">
        <v>26</v>
      </c>
      <c r="S564" s="88"/>
      <c r="T564" s="88"/>
    </row>
    <row r="565" spans="1:20" s="2" customFormat="1" ht="33.75">
      <c r="A565" s="953"/>
      <c r="B565" s="956"/>
      <c r="C565" s="958"/>
      <c r="D565" s="945"/>
      <c r="E565" s="945"/>
      <c r="F565" s="37" t="s">
        <v>18</v>
      </c>
      <c r="G565" s="37" t="s">
        <v>19</v>
      </c>
      <c r="H565" s="37" t="s">
        <v>20</v>
      </c>
      <c r="I565" s="37" t="s">
        <v>21</v>
      </c>
      <c r="J565" s="945"/>
      <c r="K565" s="945"/>
      <c r="L565" s="945"/>
      <c r="M565" s="945"/>
      <c r="N565" s="945"/>
      <c r="O565" s="970"/>
      <c r="P565" s="945"/>
      <c r="Q565" s="930"/>
      <c r="S565" s="88"/>
      <c r="T565" s="88"/>
    </row>
    <row r="566" spans="1:20" s="3" customFormat="1" ht="13.5" customHeight="1" thickBot="1">
      <c r="A566" s="954"/>
      <c r="B566" s="957"/>
      <c r="C566" s="959"/>
      <c r="D566" s="58" t="s">
        <v>7</v>
      </c>
      <c r="E566" s="58" t="s">
        <v>8</v>
      </c>
      <c r="F566" s="58" t="s">
        <v>9</v>
      </c>
      <c r="G566" s="58" t="s">
        <v>9</v>
      </c>
      <c r="H566" s="58" t="s">
        <v>9</v>
      </c>
      <c r="I566" s="58" t="s">
        <v>9</v>
      </c>
      <c r="J566" s="58" t="s">
        <v>22</v>
      </c>
      <c r="K566" s="58" t="s">
        <v>9</v>
      </c>
      <c r="L566" s="58" t="s">
        <v>22</v>
      </c>
      <c r="M566" s="58" t="s">
        <v>134</v>
      </c>
      <c r="N566" s="58" t="s">
        <v>10</v>
      </c>
      <c r="O566" s="58" t="s">
        <v>135</v>
      </c>
      <c r="P566" s="59" t="s">
        <v>27</v>
      </c>
      <c r="Q566" s="60" t="s">
        <v>28</v>
      </c>
      <c r="S566" s="88"/>
      <c r="T566" s="88"/>
    </row>
    <row r="567" spans="1:20" s="92" customFormat="1" ht="12.75">
      <c r="A567" s="926" t="s">
        <v>11</v>
      </c>
      <c r="B567" s="99">
        <v>1</v>
      </c>
      <c r="C567" s="202" t="s">
        <v>670</v>
      </c>
      <c r="D567" s="159">
        <v>100</v>
      </c>
      <c r="E567" s="159" t="s">
        <v>67</v>
      </c>
      <c r="F567" s="253">
        <v>47.76</v>
      </c>
      <c r="G567" s="253">
        <v>7.46</v>
      </c>
      <c r="H567" s="253">
        <v>16</v>
      </c>
      <c r="I567" s="253">
        <v>24.3</v>
      </c>
      <c r="J567" s="270">
        <v>4426</v>
      </c>
      <c r="K567" s="253">
        <v>24.3</v>
      </c>
      <c r="L567" s="270">
        <v>4426</v>
      </c>
      <c r="M567" s="173">
        <f aca="true" t="shared" si="96" ref="M567:M606">K567/L567</f>
        <v>0.005490284681427926</v>
      </c>
      <c r="N567" s="160">
        <v>225.6</v>
      </c>
      <c r="O567" s="494">
        <f aca="true" t="shared" si="97" ref="O567:O606">M567*N567</f>
        <v>1.2386082241301402</v>
      </c>
      <c r="P567" s="164">
        <f aca="true" t="shared" si="98" ref="P567:P606">M567*60*1000</f>
        <v>329.41708088567555</v>
      </c>
      <c r="Q567" s="203">
        <f aca="true" t="shared" si="99" ref="Q567:Q606">P567*N567/1000</f>
        <v>74.3164934478084</v>
      </c>
      <c r="S567" s="88"/>
      <c r="T567" s="88"/>
    </row>
    <row r="568" spans="1:20" s="92" customFormat="1" ht="12.75">
      <c r="A568" s="927"/>
      <c r="B568" s="91">
        <v>2</v>
      </c>
      <c r="C568" s="158" t="s">
        <v>671</v>
      </c>
      <c r="D568" s="132">
        <v>55</v>
      </c>
      <c r="E568" s="132" t="s">
        <v>67</v>
      </c>
      <c r="F568" s="248">
        <v>35.2</v>
      </c>
      <c r="G568" s="248">
        <v>3.11</v>
      </c>
      <c r="H568" s="248">
        <v>8.4</v>
      </c>
      <c r="I568" s="248">
        <v>23.69</v>
      </c>
      <c r="J568" s="271">
        <v>2538</v>
      </c>
      <c r="K568" s="248">
        <v>23.69</v>
      </c>
      <c r="L568" s="271">
        <v>2538</v>
      </c>
      <c r="M568" s="141">
        <f t="shared" si="96"/>
        <v>0.009334121355397951</v>
      </c>
      <c r="N568" s="142">
        <v>225.6</v>
      </c>
      <c r="O568" s="496">
        <f t="shared" si="97"/>
        <v>2.105777777777778</v>
      </c>
      <c r="P568" s="164">
        <f t="shared" si="98"/>
        <v>560.0472813238771</v>
      </c>
      <c r="Q568" s="144">
        <f t="shared" si="99"/>
        <v>126.34666666666668</v>
      </c>
      <c r="S568" s="88"/>
      <c r="T568" s="88"/>
    </row>
    <row r="569" spans="1:20" ht="12.75">
      <c r="A569" s="927"/>
      <c r="B569" s="30">
        <v>3</v>
      </c>
      <c r="C569" s="158" t="s">
        <v>672</v>
      </c>
      <c r="D569" s="132">
        <v>10</v>
      </c>
      <c r="E569" s="132" t="s">
        <v>67</v>
      </c>
      <c r="F569" s="248">
        <v>9.92</v>
      </c>
      <c r="G569" s="248">
        <v>1.33</v>
      </c>
      <c r="H569" s="248">
        <v>1.6</v>
      </c>
      <c r="I569" s="248">
        <v>6.99</v>
      </c>
      <c r="J569" s="271">
        <v>642</v>
      </c>
      <c r="K569" s="248">
        <v>6.99</v>
      </c>
      <c r="L569" s="271">
        <v>642</v>
      </c>
      <c r="M569" s="141">
        <f t="shared" si="96"/>
        <v>0.01088785046728972</v>
      </c>
      <c r="N569" s="142">
        <v>225.6</v>
      </c>
      <c r="O569" s="496">
        <f t="shared" si="97"/>
        <v>2.456299065420561</v>
      </c>
      <c r="P569" s="164">
        <f t="shared" si="98"/>
        <v>653.2710280373832</v>
      </c>
      <c r="Q569" s="144">
        <f t="shared" si="99"/>
        <v>147.37794392523364</v>
      </c>
      <c r="S569" s="88"/>
      <c r="T569" s="88"/>
    </row>
    <row r="570" spans="1:20" ht="12.75">
      <c r="A570" s="927"/>
      <c r="B570" s="30">
        <v>4</v>
      </c>
      <c r="C570" s="158" t="s">
        <v>673</v>
      </c>
      <c r="D570" s="132">
        <v>75</v>
      </c>
      <c r="E570" s="132" t="s">
        <v>67</v>
      </c>
      <c r="F570" s="248">
        <v>65.8</v>
      </c>
      <c r="G570" s="248">
        <v>6.63</v>
      </c>
      <c r="H570" s="248">
        <v>11.84</v>
      </c>
      <c r="I570" s="248">
        <v>47.33</v>
      </c>
      <c r="J570" s="271">
        <v>3995</v>
      </c>
      <c r="K570" s="248">
        <v>47.33</v>
      </c>
      <c r="L570" s="271">
        <v>3995</v>
      </c>
      <c r="M570" s="141">
        <f t="shared" si="96"/>
        <v>0.011847309136420524</v>
      </c>
      <c r="N570" s="142">
        <v>225.6</v>
      </c>
      <c r="O570" s="496">
        <f t="shared" si="97"/>
        <v>2.67275294117647</v>
      </c>
      <c r="P570" s="164">
        <f t="shared" si="98"/>
        <v>710.8385481852315</v>
      </c>
      <c r="Q570" s="144">
        <f t="shared" si="99"/>
        <v>160.3651764705882</v>
      </c>
      <c r="S570" s="88"/>
      <c r="T570" s="88"/>
    </row>
    <row r="571" spans="1:20" ht="12.75">
      <c r="A571" s="927"/>
      <c r="B571" s="30">
        <v>5</v>
      </c>
      <c r="C571" s="158" t="s">
        <v>674</v>
      </c>
      <c r="D571" s="132">
        <v>11</v>
      </c>
      <c r="E571" s="132" t="s">
        <v>67</v>
      </c>
      <c r="F571" s="248">
        <v>7.53</v>
      </c>
      <c r="G571" s="248">
        <v>0.41</v>
      </c>
      <c r="H571" s="248">
        <v>0.07</v>
      </c>
      <c r="I571" s="248">
        <v>7.05</v>
      </c>
      <c r="J571" s="271">
        <v>497</v>
      </c>
      <c r="K571" s="248">
        <v>7.05</v>
      </c>
      <c r="L571" s="271">
        <v>497</v>
      </c>
      <c r="M571" s="141">
        <f t="shared" si="96"/>
        <v>0.014185110663983903</v>
      </c>
      <c r="N571" s="142">
        <v>225.6</v>
      </c>
      <c r="O571" s="496">
        <f t="shared" si="97"/>
        <v>3.2001609657947685</v>
      </c>
      <c r="P571" s="164">
        <f t="shared" si="98"/>
        <v>851.1066398390342</v>
      </c>
      <c r="Q571" s="144">
        <f t="shared" si="99"/>
        <v>192.0096579476861</v>
      </c>
      <c r="S571" s="88"/>
      <c r="T571" s="88"/>
    </row>
    <row r="572" spans="1:20" ht="12.75">
      <c r="A572" s="927"/>
      <c r="B572" s="30">
        <v>6</v>
      </c>
      <c r="C572" s="158" t="s">
        <v>675</v>
      </c>
      <c r="D572" s="132">
        <v>28</v>
      </c>
      <c r="E572" s="132" t="s">
        <v>67</v>
      </c>
      <c r="F572" s="248">
        <v>24.7</v>
      </c>
      <c r="G572" s="248">
        <v>1.73</v>
      </c>
      <c r="H572" s="248">
        <v>3.61</v>
      </c>
      <c r="I572" s="248">
        <v>19.36</v>
      </c>
      <c r="J572" s="271">
        <v>1349</v>
      </c>
      <c r="K572" s="248">
        <v>19.36</v>
      </c>
      <c r="L572" s="271">
        <v>1349</v>
      </c>
      <c r="M572" s="141">
        <f t="shared" si="96"/>
        <v>0.014351371386212008</v>
      </c>
      <c r="N572" s="142">
        <v>225.6</v>
      </c>
      <c r="O572" s="496">
        <f t="shared" si="97"/>
        <v>3.237669384729429</v>
      </c>
      <c r="P572" s="164">
        <f t="shared" si="98"/>
        <v>861.0822831727205</v>
      </c>
      <c r="Q572" s="144">
        <f t="shared" si="99"/>
        <v>194.26016308376575</v>
      </c>
      <c r="S572" s="88"/>
      <c r="T572" s="88"/>
    </row>
    <row r="573" spans="1:20" ht="12.75">
      <c r="A573" s="927"/>
      <c r="B573" s="30">
        <v>7</v>
      </c>
      <c r="C573" s="158" t="s">
        <v>676</v>
      </c>
      <c r="D573" s="132">
        <v>45</v>
      </c>
      <c r="E573" s="132" t="s">
        <v>67</v>
      </c>
      <c r="F573" s="248">
        <v>48.63</v>
      </c>
      <c r="G573" s="248">
        <v>7.45</v>
      </c>
      <c r="H573" s="248">
        <v>7.2</v>
      </c>
      <c r="I573" s="248">
        <v>33.98</v>
      </c>
      <c r="J573" s="271">
        <v>2324</v>
      </c>
      <c r="K573" s="248">
        <v>33.98</v>
      </c>
      <c r="L573" s="271">
        <v>2324</v>
      </c>
      <c r="M573" s="141">
        <f t="shared" si="96"/>
        <v>0.014621342512908777</v>
      </c>
      <c r="N573" s="142">
        <v>225.6</v>
      </c>
      <c r="O573" s="496">
        <f t="shared" si="97"/>
        <v>3.29857487091222</v>
      </c>
      <c r="P573" s="164">
        <f t="shared" si="98"/>
        <v>877.2805507745265</v>
      </c>
      <c r="Q573" s="144">
        <f t="shared" si="99"/>
        <v>197.9144922547332</v>
      </c>
      <c r="S573" s="88"/>
      <c r="T573" s="88"/>
    </row>
    <row r="574" spans="1:20" ht="12.75">
      <c r="A574" s="927"/>
      <c r="B574" s="30">
        <v>8</v>
      </c>
      <c r="C574" s="158" t="s">
        <v>677</v>
      </c>
      <c r="D574" s="132">
        <v>75</v>
      </c>
      <c r="E574" s="132" t="s">
        <v>67</v>
      </c>
      <c r="F574" s="248">
        <v>76.98</v>
      </c>
      <c r="G574" s="248">
        <v>5.66</v>
      </c>
      <c r="H574" s="248">
        <v>11.85</v>
      </c>
      <c r="I574" s="248">
        <v>59.47</v>
      </c>
      <c r="J574" s="271">
        <v>3987</v>
      </c>
      <c r="K574" s="248">
        <v>59.47</v>
      </c>
      <c r="L574" s="271">
        <v>3987</v>
      </c>
      <c r="M574" s="141">
        <f t="shared" si="96"/>
        <v>0.01491597692500627</v>
      </c>
      <c r="N574" s="142">
        <v>225.6</v>
      </c>
      <c r="O574" s="496">
        <f t="shared" si="97"/>
        <v>3.3650443942814143</v>
      </c>
      <c r="P574" s="164">
        <f t="shared" si="98"/>
        <v>894.9586155003763</v>
      </c>
      <c r="Q574" s="144">
        <f t="shared" si="99"/>
        <v>201.9026636568849</v>
      </c>
      <c r="S574" s="88"/>
      <c r="T574" s="88"/>
    </row>
    <row r="575" spans="1:20" ht="12.75">
      <c r="A575" s="927"/>
      <c r="B575" s="30">
        <v>9</v>
      </c>
      <c r="C575" s="158" t="s">
        <v>678</v>
      </c>
      <c r="D575" s="132">
        <v>30</v>
      </c>
      <c r="E575" s="132" t="s">
        <v>67</v>
      </c>
      <c r="F575" s="248">
        <v>35.04</v>
      </c>
      <c r="G575" s="248">
        <v>7.09</v>
      </c>
      <c r="H575" s="248">
        <v>4.8</v>
      </c>
      <c r="I575" s="248">
        <v>23.15</v>
      </c>
      <c r="J575" s="271">
        <v>1511</v>
      </c>
      <c r="K575" s="248">
        <v>23.15</v>
      </c>
      <c r="L575" s="271">
        <v>1511</v>
      </c>
      <c r="M575" s="141">
        <f t="shared" si="96"/>
        <v>0.01532097948378557</v>
      </c>
      <c r="N575" s="142">
        <v>225.6</v>
      </c>
      <c r="O575" s="496">
        <f t="shared" si="97"/>
        <v>3.456412971542025</v>
      </c>
      <c r="P575" s="164">
        <f t="shared" si="98"/>
        <v>919.2587690271342</v>
      </c>
      <c r="Q575" s="144">
        <f t="shared" si="99"/>
        <v>207.38477829252147</v>
      </c>
      <c r="S575" s="88"/>
      <c r="T575" s="88"/>
    </row>
    <row r="576" spans="1:20" ht="13.5" thickBot="1">
      <c r="A576" s="928"/>
      <c r="B576" s="63">
        <v>10</v>
      </c>
      <c r="C576" s="161" t="s">
        <v>369</v>
      </c>
      <c r="D576" s="133">
        <v>45</v>
      </c>
      <c r="E576" s="133" t="s">
        <v>67</v>
      </c>
      <c r="F576" s="249">
        <v>58.52</v>
      </c>
      <c r="G576" s="249">
        <v>6.1</v>
      </c>
      <c r="H576" s="249">
        <v>7.2</v>
      </c>
      <c r="I576" s="249">
        <v>46.22</v>
      </c>
      <c r="J576" s="272">
        <v>2938</v>
      </c>
      <c r="K576" s="249">
        <v>46.22</v>
      </c>
      <c r="L576" s="272">
        <v>2938</v>
      </c>
      <c r="M576" s="174">
        <f t="shared" si="96"/>
        <v>0.015731790333560244</v>
      </c>
      <c r="N576" s="162">
        <v>225.6</v>
      </c>
      <c r="O576" s="506">
        <f t="shared" si="97"/>
        <v>3.549091899251191</v>
      </c>
      <c r="P576" s="273">
        <f t="shared" si="98"/>
        <v>943.9074200136146</v>
      </c>
      <c r="Q576" s="165">
        <f t="shared" si="99"/>
        <v>212.94551395507145</v>
      </c>
      <c r="S576" s="88"/>
      <c r="T576" s="88"/>
    </row>
    <row r="577" spans="1:20" ht="12.75">
      <c r="A577" s="1031" t="s">
        <v>29</v>
      </c>
      <c r="B577" s="743">
        <v>1</v>
      </c>
      <c r="C577" s="709" t="s">
        <v>679</v>
      </c>
      <c r="D577" s="710">
        <v>55</v>
      </c>
      <c r="E577" s="710" t="s">
        <v>67</v>
      </c>
      <c r="F577" s="712">
        <v>57.26</v>
      </c>
      <c r="G577" s="712">
        <v>7.75</v>
      </c>
      <c r="H577" s="712">
        <v>8.8</v>
      </c>
      <c r="I577" s="711">
        <v>40.71</v>
      </c>
      <c r="J577" s="713">
        <v>2535</v>
      </c>
      <c r="K577" s="711">
        <v>40.71</v>
      </c>
      <c r="L577" s="713">
        <v>2535</v>
      </c>
      <c r="M577" s="714">
        <f t="shared" si="96"/>
        <v>0.016059171597633138</v>
      </c>
      <c r="N577" s="715">
        <v>225.6</v>
      </c>
      <c r="O577" s="826">
        <f t="shared" si="97"/>
        <v>3.622949112426036</v>
      </c>
      <c r="P577" s="716">
        <f t="shared" si="98"/>
        <v>963.5502958579882</v>
      </c>
      <c r="Q577" s="717">
        <f t="shared" si="99"/>
        <v>217.37694674556212</v>
      </c>
      <c r="S577" s="88"/>
      <c r="T577" s="88"/>
    </row>
    <row r="578" spans="1:20" ht="12.75">
      <c r="A578" s="972"/>
      <c r="B578" s="725">
        <v>2</v>
      </c>
      <c r="C578" s="709" t="s">
        <v>126</v>
      </c>
      <c r="D578" s="710">
        <v>50</v>
      </c>
      <c r="E578" s="710" t="s">
        <v>67</v>
      </c>
      <c r="F578" s="711">
        <v>40.02</v>
      </c>
      <c r="G578" s="711">
        <v>1.48</v>
      </c>
      <c r="H578" s="711">
        <v>0.46</v>
      </c>
      <c r="I578" s="711">
        <v>38.08</v>
      </c>
      <c r="J578" s="719">
        <v>2303</v>
      </c>
      <c r="K578" s="711">
        <v>38.08</v>
      </c>
      <c r="L578" s="719">
        <v>2303</v>
      </c>
      <c r="M578" s="714">
        <f t="shared" si="96"/>
        <v>0.01653495440729483</v>
      </c>
      <c r="N578" s="720">
        <v>225.6</v>
      </c>
      <c r="O578" s="826">
        <f t="shared" si="97"/>
        <v>3.7302857142857135</v>
      </c>
      <c r="P578" s="716">
        <f t="shared" si="98"/>
        <v>992.0972644376899</v>
      </c>
      <c r="Q578" s="717">
        <f t="shared" si="99"/>
        <v>223.81714285714284</v>
      </c>
      <c r="S578" s="88"/>
      <c r="T578" s="88"/>
    </row>
    <row r="579" spans="1:20" ht="12.75">
      <c r="A579" s="972"/>
      <c r="B579" s="725">
        <v>3</v>
      </c>
      <c r="C579" s="709" t="s">
        <v>680</v>
      </c>
      <c r="D579" s="710">
        <v>30</v>
      </c>
      <c r="E579" s="710" t="s">
        <v>67</v>
      </c>
      <c r="F579" s="711">
        <v>33.23</v>
      </c>
      <c r="G579" s="711">
        <v>3.37</v>
      </c>
      <c r="H579" s="711">
        <v>4.34</v>
      </c>
      <c r="I579" s="711">
        <v>25.52</v>
      </c>
      <c r="J579" s="719">
        <v>1514</v>
      </c>
      <c r="K579" s="711">
        <v>25.52</v>
      </c>
      <c r="L579" s="719">
        <v>1514</v>
      </c>
      <c r="M579" s="721">
        <f t="shared" si="96"/>
        <v>0.016856010568031703</v>
      </c>
      <c r="N579" s="720">
        <v>225.6</v>
      </c>
      <c r="O579" s="826">
        <f t="shared" si="97"/>
        <v>3.802715984147952</v>
      </c>
      <c r="P579" s="716">
        <f t="shared" si="98"/>
        <v>1011.3606340819022</v>
      </c>
      <c r="Q579" s="722">
        <f t="shared" si="99"/>
        <v>228.16295904887713</v>
      </c>
      <c r="S579" s="88"/>
      <c r="T579" s="88"/>
    </row>
    <row r="580" spans="1:20" ht="12.75">
      <c r="A580" s="972"/>
      <c r="B580" s="725">
        <v>4</v>
      </c>
      <c r="C580" s="709" t="s">
        <v>681</v>
      </c>
      <c r="D580" s="710">
        <v>46</v>
      </c>
      <c r="E580" s="710" t="s">
        <v>67</v>
      </c>
      <c r="F580" s="711">
        <v>54.26</v>
      </c>
      <c r="G580" s="711">
        <v>6.38</v>
      </c>
      <c r="H580" s="711">
        <v>7.12</v>
      </c>
      <c r="I580" s="711">
        <v>40.76</v>
      </c>
      <c r="J580" s="719">
        <v>2323</v>
      </c>
      <c r="K580" s="711">
        <v>40.76</v>
      </c>
      <c r="L580" s="719">
        <v>2323</v>
      </c>
      <c r="M580" s="721">
        <f t="shared" si="96"/>
        <v>0.01754627636676711</v>
      </c>
      <c r="N580" s="720">
        <v>225.6</v>
      </c>
      <c r="O580" s="827">
        <f t="shared" si="97"/>
        <v>3.9584399483426598</v>
      </c>
      <c r="P580" s="716">
        <f t="shared" si="98"/>
        <v>1052.7765820060267</v>
      </c>
      <c r="Q580" s="722">
        <f t="shared" si="99"/>
        <v>237.50639690055962</v>
      </c>
      <c r="S580" s="88"/>
      <c r="T580" s="88"/>
    </row>
    <row r="581" spans="1:20" ht="12.75">
      <c r="A581" s="972"/>
      <c r="B581" s="725">
        <v>5</v>
      </c>
      <c r="C581" s="709" t="s">
        <v>449</v>
      </c>
      <c r="D581" s="710">
        <v>45</v>
      </c>
      <c r="E581" s="710" t="s">
        <v>67</v>
      </c>
      <c r="F581" s="711">
        <v>53.63</v>
      </c>
      <c r="G581" s="711">
        <v>3.42</v>
      </c>
      <c r="H581" s="711">
        <v>7.2</v>
      </c>
      <c r="I581" s="711">
        <v>43.01</v>
      </c>
      <c r="J581" s="719">
        <v>2382</v>
      </c>
      <c r="K581" s="711">
        <v>43.01</v>
      </c>
      <c r="L581" s="719">
        <v>2382</v>
      </c>
      <c r="M581" s="721">
        <f t="shared" si="96"/>
        <v>0.018056255247691014</v>
      </c>
      <c r="N581" s="720">
        <v>225.6</v>
      </c>
      <c r="O581" s="827">
        <f t="shared" si="97"/>
        <v>4.073491183879093</v>
      </c>
      <c r="P581" s="716">
        <f t="shared" si="98"/>
        <v>1083.375314861461</v>
      </c>
      <c r="Q581" s="722">
        <f t="shared" si="99"/>
        <v>244.40947103274559</v>
      </c>
      <c r="S581" s="88"/>
      <c r="T581" s="88"/>
    </row>
    <row r="582" spans="1:20" ht="12.75">
      <c r="A582" s="972"/>
      <c r="B582" s="725">
        <v>6</v>
      </c>
      <c r="C582" s="709" t="s">
        <v>682</v>
      </c>
      <c r="D582" s="710">
        <v>45</v>
      </c>
      <c r="E582" s="710" t="s">
        <v>67</v>
      </c>
      <c r="F582" s="711">
        <v>56.37</v>
      </c>
      <c r="G582" s="711">
        <v>6.02</v>
      </c>
      <c r="H582" s="711">
        <v>7.2</v>
      </c>
      <c r="I582" s="711">
        <v>43.15</v>
      </c>
      <c r="J582" s="719">
        <v>2353</v>
      </c>
      <c r="K582" s="711">
        <v>43.15</v>
      </c>
      <c r="L582" s="719">
        <v>2353</v>
      </c>
      <c r="M582" s="721">
        <f t="shared" si="96"/>
        <v>0.01833829154271143</v>
      </c>
      <c r="N582" s="720">
        <v>225.6</v>
      </c>
      <c r="O582" s="827">
        <f t="shared" si="97"/>
        <v>4.137118572035699</v>
      </c>
      <c r="P582" s="716">
        <f t="shared" si="98"/>
        <v>1100.2974925626859</v>
      </c>
      <c r="Q582" s="722">
        <f t="shared" si="99"/>
        <v>248.22711432214192</v>
      </c>
      <c r="S582" s="88"/>
      <c r="T582" s="88"/>
    </row>
    <row r="583" spans="1:20" ht="12.75">
      <c r="A583" s="972"/>
      <c r="B583" s="725">
        <v>7</v>
      </c>
      <c r="C583" s="709" t="s">
        <v>683</v>
      </c>
      <c r="D583" s="710">
        <v>75</v>
      </c>
      <c r="E583" s="710" t="s">
        <v>67</v>
      </c>
      <c r="F583" s="711">
        <v>92.18</v>
      </c>
      <c r="G583" s="711">
        <v>5.36</v>
      </c>
      <c r="H583" s="711">
        <v>12</v>
      </c>
      <c r="I583" s="711">
        <v>74.82</v>
      </c>
      <c r="J583" s="719">
        <v>3997</v>
      </c>
      <c r="K583" s="711">
        <v>74.82</v>
      </c>
      <c r="L583" s="719">
        <v>3997</v>
      </c>
      <c r="M583" s="721">
        <f t="shared" si="96"/>
        <v>0.018719039279459594</v>
      </c>
      <c r="N583" s="720">
        <v>225.6</v>
      </c>
      <c r="O583" s="827">
        <f t="shared" si="97"/>
        <v>4.2230152614460845</v>
      </c>
      <c r="P583" s="716">
        <f t="shared" si="98"/>
        <v>1123.1423567675756</v>
      </c>
      <c r="Q583" s="722">
        <f t="shared" si="99"/>
        <v>253.38091568676504</v>
      </c>
      <c r="S583" s="88"/>
      <c r="T583" s="88"/>
    </row>
    <row r="584" spans="1:20" ht="12.75">
      <c r="A584" s="972"/>
      <c r="B584" s="725">
        <v>8</v>
      </c>
      <c r="C584" s="709" t="s">
        <v>684</v>
      </c>
      <c r="D584" s="710">
        <v>45</v>
      </c>
      <c r="E584" s="710" t="s">
        <v>67</v>
      </c>
      <c r="F584" s="711">
        <v>54.98</v>
      </c>
      <c r="G584" s="711">
        <v>3.11</v>
      </c>
      <c r="H584" s="711">
        <v>7.12</v>
      </c>
      <c r="I584" s="711">
        <v>44.75</v>
      </c>
      <c r="J584" s="719">
        <v>2325</v>
      </c>
      <c r="K584" s="711">
        <v>44.75</v>
      </c>
      <c r="L584" s="719">
        <v>2325</v>
      </c>
      <c r="M584" s="721">
        <f t="shared" si="96"/>
        <v>0.01924731182795699</v>
      </c>
      <c r="N584" s="720">
        <v>225.6</v>
      </c>
      <c r="O584" s="827">
        <f t="shared" si="97"/>
        <v>4.342193548387097</v>
      </c>
      <c r="P584" s="716">
        <f t="shared" si="98"/>
        <v>1154.8387096774195</v>
      </c>
      <c r="Q584" s="722">
        <f t="shared" si="99"/>
        <v>260.53161290322583</v>
      </c>
      <c r="S584" s="88"/>
      <c r="T584" s="88"/>
    </row>
    <row r="585" spans="1:20" ht="12.75">
      <c r="A585" s="972"/>
      <c r="B585" s="725">
        <v>9</v>
      </c>
      <c r="C585" s="709" t="s">
        <v>685</v>
      </c>
      <c r="D585" s="710">
        <v>30</v>
      </c>
      <c r="E585" s="710" t="s">
        <v>67</v>
      </c>
      <c r="F585" s="711">
        <v>36.78</v>
      </c>
      <c r="G585" s="711">
        <v>2.45</v>
      </c>
      <c r="H585" s="711">
        <v>4.8</v>
      </c>
      <c r="I585" s="711">
        <v>29.53</v>
      </c>
      <c r="J585" s="719">
        <v>1507</v>
      </c>
      <c r="K585" s="711">
        <v>29.53</v>
      </c>
      <c r="L585" s="719">
        <v>1507</v>
      </c>
      <c r="M585" s="721">
        <f t="shared" si="96"/>
        <v>0.019595222295952223</v>
      </c>
      <c r="N585" s="720">
        <v>225.6</v>
      </c>
      <c r="O585" s="827">
        <f t="shared" si="97"/>
        <v>4.420682149966821</v>
      </c>
      <c r="P585" s="716">
        <f t="shared" si="98"/>
        <v>1175.7133377571333</v>
      </c>
      <c r="Q585" s="722">
        <f t="shared" si="99"/>
        <v>265.2409289980093</v>
      </c>
      <c r="S585" s="88"/>
      <c r="T585" s="88"/>
    </row>
    <row r="586" spans="1:20" ht="13.5" customHeight="1" thickBot="1">
      <c r="A586" s="1032"/>
      <c r="B586" s="760">
        <v>10</v>
      </c>
      <c r="C586" s="745" t="s">
        <v>368</v>
      </c>
      <c r="D586" s="746">
        <v>45</v>
      </c>
      <c r="E586" s="746" t="s">
        <v>67</v>
      </c>
      <c r="F586" s="747">
        <v>56.94</v>
      </c>
      <c r="G586" s="747">
        <v>2.84</v>
      </c>
      <c r="H586" s="747">
        <v>7.04</v>
      </c>
      <c r="I586" s="747">
        <v>47.06</v>
      </c>
      <c r="J586" s="748">
        <v>2326</v>
      </c>
      <c r="K586" s="747">
        <v>47.06</v>
      </c>
      <c r="L586" s="748">
        <v>2326</v>
      </c>
      <c r="M586" s="749">
        <f t="shared" si="96"/>
        <v>0.02023215821152193</v>
      </c>
      <c r="N586" s="757">
        <v>225.6</v>
      </c>
      <c r="O586" s="828">
        <f t="shared" si="97"/>
        <v>4.564374892519347</v>
      </c>
      <c r="P586" s="750">
        <f t="shared" si="98"/>
        <v>1213.9294926913158</v>
      </c>
      <c r="Q586" s="751">
        <f t="shared" si="99"/>
        <v>273.86249355116087</v>
      </c>
      <c r="S586" s="88"/>
      <c r="T586" s="88"/>
    </row>
    <row r="587" spans="1:20" ht="12.75">
      <c r="A587" s="963" t="s">
        <v>30</v>
      </c>
      <c r="B587" s="32">
        <v>1</v>
      </c>
      <c r="C587" s="215" t="s">
        <v>686</v>
      </c>
      <c r="D587" s="217">
        <v>45</v>
      </c>
      <c r="E587" s="217" t="s">
        <v>67</v>
      </c>
      <c r="F587" s="313">
        <v>59.43</v>
      </c>
      <c r="G587" s="313">
        <v>3.67</v>
      </c>
      <c r="H587" s="313">
        <v>7.2</v>
      </c>
      <c r="I587" s="313">
        <v>48.56</v>
      </c>
      <c r="J587" s="276">
        <v>2329</v>
      </c>
      <c r="K587" s="313">
        <v>48.56</v>
      </c>
      <c r="L587" s="276">
        <v>2329</v>
      </c>
      <c r="M587" s="209">
        <f t="shared" si="96"/>
        <v>0.02085015027908974</v>
      </c>
      <c r="N587" s="220">
        <v>225.6</v>
      </c>
      <c r="O587" s="495">
        <f t="shared" si="97"/>
        <v>4.703793902962645</v>
      </c>
      <c r="P587" s="208">
        <f t="shared" si="98"/>
        <v>1251.0090167453843</v>
      </c>
      <c r="Q587" s="210">
        <f t="shared" si="99"/>
        <v>282.2276341777587</v>
      </c>
      <c r="S587" s="88"/>
      <c r="T587" s="88"/>
    </row>
    <row r="588" spans="1:20" ht="12.75">
      <c r="A588" s="938"/>
      <c r="B588" s="34">
        <v>2</v>
      </c>
      <c r="C588" s="205" t="s">
        <v>687</v>
      </c>
      <c r="D588" s="135">
        <v>45</v>
      </c>
      <c r="E588" s="135" t="s">
        <v>67</v>
      </c>
      <c r="F588" s="222">
        <v>60.36</v>
      </c>
      <c r="G588" s="222">
        <v>3.57</v>
      </c>
      <c r="H588" s="222">
        <v>7.2</v>
      </c>
      <c r="I588" s="222">
        <v>49.59</v>
      </c>
      <c r="J588" s="277">
        <v>2335</v>
      </c>
      <c r="K588" s="222">
        <v>49.59</v>
      </c>
      <c r="L588" s="277">
        <v>2335</v>
      </c>
      <c r="M588" s="146">
        <f t="shared" si="96"/>
        <v>0.021237687366167025</v>
      </c>
      <c r="N588" s="147">
        <v>225.6</v>
      </c>
      <c r="O588" s="489">
        <f t="shared" si="97"/>
        <v>4.791222269807281</v>
      </c>
      <c r="P588" s="208">
        <f t="shared" si="98"/>
        <v>1274.2612419700215</v>
      </c>
      <c r="Q588" s="149">
        <f t="shared" si="99"/>
        <v>287.47333618843686</v>
      </c>
      <c r="S588" s="88"/>
      <c r="T588" s="88"/>
    </row>
    <row r="589" spans="1:20" ht="12.75">
      <c r="A589" s="938"/>
      <c r="B589" s="34">
        <v>3</v>
      </c>
      <c r="C589" s="205" t="s">
        <v>688</v>
      </c>
      <c r="D589" s="135">
        <v>105</v>
      </c>
      <c r="E589" s="135" t="s">
        <v>67</v>
      </c>
      <c r="F589" s="222">
        <v>79.68</v>
      </c>
      <c r="G589" s="222">
        <v>4.28</v>
      </c>
      <c r="H589" s="222">
        <v>0.94</v>
      </c>
      <c r="I589" s="222">
        <v>74.46</v>
      </c>
      <c r="J589" s="277">
        <v>3474</v>
      </c>
      <c r="K589" s="222">
        <v>74.46</v>
      </c>
      <c r="L589" s="277">
        <v>3474</v>
      </c>
      <c r="M589" s="146">
        <f t="shared" si="96"/>
        <v>0.02143350604490501</v>
      </c>
      <c r="N589" s="147">
        <v>225.6</v>
      </c>
      <c r="O589" s="489">
        <f t="shared" si="97"/>
        <v>4.83539896373057</v>
      </c>
      <c r="P589" s="208">
        <f t="shared" si="98"/>
        <v>1286.0103626943005</v>
      </c>
      <c r="Q589" s="149">
        <f t="shared" si="99"/>
        <v>290.1239378238342</v>
      </c>
      <c r="S589" s="88"/>
      <c r="T589" s="88"/>
    </row>
    <row r="590" spans="1:20" ht="12.75">
      <c r="A590" s="938"/>
      <c r="B590" s="34">
        <v>4</v>
      </c>
      <c r="C590" s="205" t="s">
        <v>437</v>
      </c>
      <c r="D590" s="135">
        <v>65</v>
      </c>
      <c r="E590" s="135" t="s">
        <v>67</v>
      </c>
      <c r="F590" s="222">
        <v>66.09</v>
      </c>
      <c r="G590" s="222">
        <v>4.74</v>
      </c>
      <c r="H590" s="222">
        <v>10.4</v>
      </c>
      <c r="I590" s="222">
        <v>50.95</v>
      </c>
      <c r="J590" s="277">
        <v>2350</v>
      </c>
      <c r="K590" s="222">
        <v>50.95</v>
      </c>
      <c r="L590" s="277">
        <v>2350</v>
      </c>
      <c r="M590" s="146">
        <f t="shared" si="96"/>
        <v>0.02168085106382979</v>
      </c>
      <c r="N590" s="147">
        <v>225.6</v>
      </c>
      <c r="O590" s="489">
        <f t="shared" si="97"/>
        <v>4.8912</v>
      </c>
      <c r="P590" s="208">
        <f t="shared" si="98"/>
        <v>1300.8510638297873</v>
      </c>
      <c r="Q590" s="149">
        <f t="shared" si="99"/>
        <v>293.472</v>
      </c>
      <c r="S590" s="88"/>
      <c r="T590" s="88"/>
    </row>
    <row r="591" spans="1:20" ht="12.75">
      <c r="A591" s="938"/>
      <c r="B591" s="34">
        <v>5</v>
      </c>
      <c r="C591" s="205" t="s">
        <v>450</v>
      </c>
      <c r="D591" s="135">
        <v>30</v>
      </c>
      <c r="E591" s="135" t="s">
        <v>67</v>
      </c>
      <c r="F591" s="222">
        <v>40.8</v>
      </c>
      <c r="G591" s="222">
        <v>2.81</v>
      </c>
      <c r="H591" s="222">
        <v>4.72</v>
      </c>
      <c r="I591" s="222">
        <v>33.27</v>
      </c>
      <c r="J591" s="277">
        <v>1509</v>
      </c>
      <c r="K591" s="222">
        <v>33.27</v>
      </c>
      <c r="L591" s="277">
        <v>1509</v>
      </c>
      <c r="M591" s="146">
        <f t="shared" si="96"/>
        <v>0.02204771371769384</v>
      </c>
      <c r="N591" s="147">
        <v>225.6</v>
      </c>
      <c r="O591" s="489">
        <f t="shared" si="97"/>
        <v>4.97396421471173</v>
      </c>
      <c r="P591" s="208">
        <f t="shared" si="98"/>
        <v>1322.8628230616305</v>
      </c>
      <c r="Q591" s="149">
        <f t="shared" si="99"/>
        <v>298.43785288270385</v>
      </c>
      <c r="S591" s="88"/>
      <c r="T591" s="88"/>
    </row>
    <row r="592" spans="1:20" ht="12.75">
      <c r="A592" s="938"/>
      <c r="B592" s="34">
        <v>6</v>
      </c>
      <c r="C592" s="205" t="s">
        <v>689</v>
      </c>
      <c r="D592" s="135">
        <v>45</v>
      </c>
      <c r="E592" s="135" t="s">
        <v>67</v>
      </c>
      <c r="F592" s="222">
        <v>63.52</v>
      </c>
      <c r="G592" s="222">
        <v>4.49</v>
      </c>
      <c r="H592" s="222">
        <v>7.2</v>
      </c>
      <c r="I592" s="222">
        <v>51.83</v>
      </c>
      <c r="J592" s="277">
        <v>2337</v>
      </c>
      <c r="K592" s="222">
        <v>51.83</v>
      </c>
      <c r="L592" s="277">
        <v>2337</v>
      </c>
      <c r="M592" s="146">
        <f t="shared" si="96"/>
        <v>0.02217800599058622</v>
      </c>
      <c r="N592" s="147">
        <v>225.6</v>
      </c>
      <c r="O592" s="489">
        <f t="shared" si="97"/>
        <v>5.0033581514762515</v>
      </c>
      <c r="P592" s="208">
        <f t="shared" si="98"/>
        <v>1330.6803594351732</v>
      </c>
      <c r="Q592" s="149">
        <f t="shared" si="99"/>
        <v>300.20148908857504</v>
      </c>
      <c r="S592" s="88"/>
      <c r="T592" s="88"/>
    </row>
    <row r="593" spans="1:20" ht="12.75">
      <c r="A593" s="938"/>
      <c r="B593" s="34">
        <v>7</v>
      </c>
      <c r="C593" s="205" t="s">
        <v>690</v>
      </c>
      <c r="D593" s="135">
        <v>45</v>
      </c>
      <c r="E593" s="135" t="s">
        <v>67</v>
      </c>
      <c r="F593" s="222">
        <v>62.54</v>
      </c>
      <c r="G593" s="222">
        <v>2.65</v>
      </c>
      <c r="H593" s="222">
        <v>6.81</v>
      </c>
      <c r="I593" s="222">
        <v>53.08</v>
      </c>
      <c r="J593" s="277">
        <v>2355</v>
      </c>
      <c r="K593" s="222">
        <v>53.08</v>
      </c>
      <c r="L593" s="277">
        <v>2355</v>
      </c>
      <c r="M593" s="146">
        <f t="shared" si="96"/>
        <v>0.02253927813163482</v>
      </c>
      <c r="N593" s="147">
        <v>225.6</v>
      </c>
      <c r="O593" s="489">
        <f t="shared" si="97"/>
        <v>5.084861146496816</v>
      </c>
      <c r="P593" s="208">
        <f t="shared" si="98"/>
        <v>1352.3566878980894</v>
      </c>
      <c r="Q593" s="149">
        <f t="shared" si="99"/>
        <v>305.0916687898089</v>
      </c>
      <c r="S593" s="88"/>
      <c r="T593" s="88"/>
    </row>
    <row r="594" spans="1:20" ht="12.75">
      <c r="A594" s="938"/>
      <c r="B594" s="34">
        <v>8</v>
      </c>
      <c r="C594" s="205" t="s">
        <v>691</v>
      </c>
      <c r="D594" s="135">
        <v>93</v>
      </c>
      <c r="E594" s="135" t="s">
        <v>67</v>
      </c>
      <c r="F594" s="222">
        <v>78.36</v>
      </c>
      <c r="G594" s="222">
        <v>3.72</v>
      </c>
      <c r="H594" s="222">
        <v>0.92</v>
      </c>
      <c r="I594" s="222">
        <v>73.72</v>
      </c>
      <c r="J594" s="277">
        <v>3207</v>
      </c>
      <c r="K594" s="222">
        <v>73.72</v>
      </c>
      <c r="L594" s="277">
        <v>3207</v>
      </c>
      <c r="M594" s="146">
        <f t="shared" si="96"/>
        <v>0.02298721546616776</v>
      </c>
      <c r="N594" s="147">
        <v>225.6</v>
      </c>
      <c r="O594" s="489">
        <f t="shared" si="97"/>
        <v>5.185915809167446</v>
      </c>
      <c r="P594" s="208">
        <f t="shared" si="98"/>
        <v>1379.2329279700655</v>
      </c>
      <c r="Q594" s="149">
        <f t="shared" si="99"/>
        <v>311.15494855004675</v>
      </c>
      <c r="S594" s="88"/>
      <c r="T594" s="88"/>
    </row>
    <row r="595" spans="1:20" ht="12.75">
      <c r="A595" s="938"/>
      <c r="B595" s="34">
        <v>9</v>
      </c>
      <c r="C595" s="205" t="s">
        <v>692</v>
      </c>
      <c r="D595" s="135">
        <v>30</v>
      </c>
      <c r="E595" s="135" t="s">
        <v>67</v>
      </c>
      <c r="F595" s="222">
        <v>42.53</v>
      </c>
      <c r="G595" s="222">
        <v>2.4</v>
      </c>
      <c r="H595" s="222">
        <v>4.8</v>
      </c>
      <c r="I595" s="222">
        <v>35.33</v>
      </c>
      <c r="J595" s="277">
        <v>1515</v>
      </c>
      <c r="K595" s="222">
        <v>35.33</v>
      </c>
      <c r="L595" s="277">
        <v>1515</v>
      </c>
      <c r="M595" s="146">
        <f t="shared" si="96"/>
        <v>0.02332013201320132</v>
      </c>
      <c r="N595" s="147">
        <v>225.6</v>
      </c>
      <c r="O595" s="489">
        <f t="shared" si="97"/>
        <v>5.261021782178218</v>
      </c>
      <c r="P595" s="208">
        <f t="shared" si="98"/>
        <v>1399.2079207920792</v>
      </c>
      <c r="Q595" s="149">
        <f t="shared" si="99"/>
        <v>315.66130693069306</v>
      </c>
      <c r="S595" s="88"/>
      <c r="T595" s="88"/>
    </row>
    <row r="596" spans="1:20" ht="13.5" thickBot="1">
      <c r="A596" s="940"/>
      <c r="B596" s="36">
        <v>10</v>
      </c>
      <c r="C596" s="216" t="s">
        <v>693</v>
      </c>
      <c r="D596" s="136">
        <v>32</v>
      </c>
      <c r="E596" s="136" t="s">
        <v>67</v>
      </c>
      <c r="F596" s="312">
        <v>41.09</v>
      </c>
      <c r="G596" s="312">
        <v>2.14</v>
      </c>
      <c r="H596" s="312">
        <v>5.12</v>
      </c>
      <c r="I596" s="312">
        <v>33.83</v>
      </c>
      <c r="J596" s="278">
        <v>1418</v>
      </c>
      <c r="K596" s="312">
        <v>33.83</v>
      </c>
      <c r="L596" s="278">
        <v>1418</v>
      </c>
      <c r="M596" s="211">
        <f t="shared" si="96"/>
        <v>0.023857545839210154</v>
      </c>
      <c r="N596" s="221">
        <v>225.6</v>
      </c>
      <c r="O596" s="490">
        <f t="shared" si="97"/>
        <v>5.38226234132581</v>
      </c>
      <c r="P596" s="212">
        <f t="shared" si="98"/>
        <v>1431.4527503526092</v>
      </c>
      <c r="Q596" s="213">
        <f t="shared" si="99"/>
        <v>322.93574047954866</v>
      </c>
      <c r="S596" s="88"/>
      <c r="T596" s="88"/>
    </row>
    <row r="597" spans="1:20" ht="12.75">
      <c r="A597" s="964" t="s">
        <v>12</v>
      </c>
      <c r="B597" s="39">
        <v>1</v>
      </c>
      <c r="C597" s="166" t="s">
        <v>694</v>
      </c>
      <c r="D597" s="167">
        <v>40</v>
      </c>
      <c r="E597" s="167" t="s">
        <v>67</v>
      </c>
      <c r="F597" s="250">
        <v>64.34</v>
      </c>
      <c r="G597" s="250">
        <v>3.05</v>
      </c>
      <c r="H597" s="250">
        <v>6.4</v>
      </c>
      <c r="I597" s="250">
        <v>54.89</v>
      </c>
      <c r="J597" s="274">
        <v>2297</v>
      </c>
      <c r="K597" s="250">
        <v>54.89</v>
      </c>
      <c r="L597" s="274">
        <v>2297</v>
      </c>
      <c r="M597" s="170">
        <f t="shared" si="96"/>
        <v>0.02389638659120592</v>
      </c>
      <c r="N597" s="168">
        <v>225.6</v>
      </c>
      <c r="O597" s="442">
        <f t="shared" si="97"/>
        <v>5.391024814976055</v>
      </c>
      <c r="P597" s="171">
        <f t="shared" si="98"/>
        <v>1433.7831954723551</v>
      </c>
      <c r="Q597" s="172">
        <f t="shared" si="99"/>
        <v>323.4614888985633</v>
      </c>
      <c r="S597" s="88"/>
      <c r="T597" s="88"/>
    </row>
    <row r="598" spans="1:20" ht="12.75">
      <c r="A598" s="965"/>
      <c r="B598" s="41">
        <v>2</v>
      </c>
      <c r="C598" s="169" t="s">
        <v>695</v>
      </c>
      <c r="D598" s="137">
        <v>19</v>
      </c>
      <c r="E598" s="137" t="s">
        <v>67</v>
      </c>
      <c r="F598" s="218">
        <v>13.77</v>
      </c>
      <c r="G598" s="218">
        <v>0</v>
      </c>
      <c r="H598" s="218">
        <v>0</v>
      </c>
      <c r="I598" s="218">
        <v>13.77</v>
      </c>
      <c r="J598" s="275">
        <v>568</v>
      </c>
      <c r="K598" s="218">
        <v>13.77</v>
      </c>
      <c r="L598" s="275">
        <v>568</v>
      </c>
      <c r="M598" s="150">
        <f t="shared" si="96"/>
        <v>0.02424295774647887</v>
      </c>
      <c r="N598" s="151">
        <v>225.6</v>
      </c>
      <c r="O598" s="428">
        <f t="shared" si="97"/>
        <v>5.469211267605633</v>
      </c>
      <c r="P598" s="171">
        <f t="shared" si="98"/>
        <v>1454.5774647887322</v>
      </c>
      <c r="Q598" s="153">
        <f t="shared" si="99"/>
        <v>328.15267605633795</v>
      </c>
      <c r="S598" s="88"/>
      <c r="T598" s="88"/>
    </row>
    <row r="599" spans="1:20" ht="12.75">
      <c r="A599" s="965"/>
      <c r="B599" s="41">
        <v>3</v>
      </c>
      <c r="C599" s="169" t="s">
        <v>696</v>
      </c>
      <c r="D599" s="137">
        <v>32</v>
      </c>
      <c r="E599" s="137" t="s">
        <v>67</v>
      </c>
      <c r="F599" s="218">
        <v>38.69</v>
      </c>
      <c r="G599" s="218">
        <v>3.52</v>
      </c>
      <c r="H599" s="218">
        <v>0.47</v>
      </c>
      <c r="I599" s="218">
        <v>34.7</v>
      </c>
      <c r="J599" s="275">
        <v>1420</v>
      </c>
      <c r="K599" s="218">
        <v>34.7</v>
      </c>
      <c r="L599" s="275">
        <v>1420</v>
      </c>
      <c r="M599" s="150">
        <f t="shared" si="96"/>
        <v>0.024436619718309863</v>
      </c>
      <c r="N599" s="151">
        <v>225.6</v>
      </c>
      <c r="O599" s="428">
        <f t="shared" si="97"/>
        <v>5.512901408450705</v>
      </c>
      <c r="P599" s="171">
        <f t="shared" si="98"/>
        <v>1466.1971830985917</v>
      </c>
      <c r="Q599" s="153">
        <f t="shared" si="99"/>
        <v>330.7740845070423</v>
      </c>
      <c r="S599" s="88"/>
      <c r="T599" s="88"/>
    </row>
    <row r="600" spans="1:20" ht="12.75">
      <c r="A600" s="965"/>
      <c r="B600" s="41">
        <v>4</v>
      </c>
      <c r="C600" s="169" t="s">
        <v>697</v>
      </c>
      <c r="D600" s="137">
        <v>55</v>
      </c>
      <c r="E600" s="137" t="s">
        <v>67</v>
      </c>
      <c r="F600" s="218">
        <v>77.04</v>
      </c>
      <c r="G600" s="218">
        <v>4.95</v>
      </c>
      <c r="H600" s="218">
        <v>8.72</v>
      </c>
      <c r="I600" s="218">
        <v>63.37</v>
      </c>
      <c r="J600" s="275">
        <v>2548</v>
      </c>
      <c r="K600" s="218">
        <v>63.37</v>
      </c>
      <c r="L600" s="275">
        <v>2548</v>
      </c>
      <c r="M600" s="150">
        <f t="shared" si="96"/>
        <v>0.02487048665620094</v>
      </c>
      <c r="N600" s="151">
        <v>225.6</v>
      </c>
      <c r="O600" s="428">
        <f t="shared" si="97"/>
        <v>5.610781789638932</v>
      </c>
      <c r="P600" s="171">
        <f t="shared" si="98"/>
        <v>1492.2291993720564</v>
      </c>
      <c r="Q600" s="153">
        <f t="shared" si="99"/>
        <v>336.6469073783359</v>
      </c>
      <c r="S600" s="88"/>
      <c r="T600" s="88"/>
    </row>
    <row r="601" spans="1:20" ht="12.75">
      <c r="A601" s="965"/>
      <c r="B601" s="41">
        <v>5</v>
      </c>
      <c r="C601" s="169" t="s">
        <v>698</v>
      </c>
      <c r="D601" s="137">
        <v>53</v>
      </c>
      <c r="E601" s="137" t="s">
        <v>67</v>
      </c>
      <c r="F601" s="218">
        <v>73.25</v>
      </c>
      <c r="G601" s="218">
        <v>3.36</v>
      </c>
      <c r="H601" s="218">
        <v>8.4</v>
      </c>
      <c r="I601" s="218">
        <v>61.49</v>
      </c>
      <c r="J601" s="275">
        <v>2392</v>
      </c>
      <c r="K601" s="218">
        <v>61.49</v>
      </c>
      <c r="L601" s="275">
        <v>2392</v>
      </c>
      <c r="M601" s="150">
        <f t="shared" si="96"/>
        <v>0.025706521739130437</v>
      </c>
      <c r="N601" s="151">
        <v>225.6</v>
      </c>
      <c r="O601" s="428">
        <f t="shared" si="97"/>
        <v>5.799391304347826</v>
      </c>
      <c r="P601" s="171">
        <f t="shared" si="98"/>
        <v>1542.391304347826</v>
      </c>
      <c r="Q601" s="153">
        <f t="shared" si="99"/>
        <v>347.9634782608695</v>
      </c>
      <c r="S601" s="88"/>
      <c r="T601" s="88"/>
    </row>
    <row r="602" spans="1:20" ht="12.75">
      <c r="A602" s="965"/>
      <c r="B602" s="41">
        <v>6</v>
      </c>
      <c r="C602" s="169" t="s">
        <v>451</v>
      </c>
      <c r="D602" s="137">
        <v>100</v>
      </c>
      <c r="E602" s="137" t="s">
        <v>67</v>
      </c>
      <c r="F602" s="218">
        <v>89.47</v>
      </c>
      <c r="G602" s="218">
        <v>2.96</v>
      </c>
      <c r="H602" s="218">
        <v>0.82</v>
      </c>
      <c r="I602" s="218">
        <v>85.69</v>
      </c>
      <c r="J602" s="275">
        <v>3237</v>
      </c>
      <c r="K602" s="218">
        <v>85.69</v>
      </c>
      <c r="L602" s="275">
        <v>3237</v>
      </c>
      <c r="M602" s="150">
        <f t="shared" si="96"/>
        <v>0.02647204201421069</v>
      </c>
      <c r="N602" s="151">
        <v>225.6</v>
      </c>
      <c r="O602" s="428">
        <f t="shared" si="97"/>
        <v>5.972092678405931</v>
      </c>
      <c r="P602" s="171">
        <f t="shared" si="98"/>
        <v>1588.3225208526412</v>
      </c>
      <c r="Q602" s="153">
        <f t="shared" si="99"/>
        <v>358.32556070435584</v>
      </c>
      <c r="S602" s="88"/>
      <c r="T602" s="88"/>
    </row>
    <row r="603" spans="1:20" ht="12.75">
      <c r="A603" s="965"/>
      <c r="B603" s="41">
        <v>7</v>
      </c>
      <c r="C603" s="169" t="s">
        <v>371</v>
      </c>
      <c r="D603" s="137">
        <v>24</v>
      </c>
      <c r="E603" s="137" t="s">
        <v>67</v>
      </c>
      <c r="F603" s="218">
        <v>35</v>
      </c>
      <c r="G603" s="218">
        <v>1.33</v>
      </c>
      <c r="H603" s="218">
        <v>3.76</v>
      </c>
      <c r="I603" s="218">
        <v>29.91</v>
      </c>
      <c r="J603" s="275">
        <v>1107</v>
      </c>
      <c r="K603" s="218">
        <v>29.91</v>
      </c>
      <c r="L603" s="275">
        <v>1107</v>
      </c>
      <c r="M603" s="150">
        <f t="shared" si="96"/>
        <v>0.027018970189701896</v>
      </c>
      <c r="N603" s="151">
        <v>225.6</v>
      </c>
      <c r="O603" s="428">
        <f t="shared" si="97"/>
        <v>6.0954796747967475</v>
      </c>
      <c r="P603" s="171">
        <f t="shared" si="98"/>
        <v>1621.1382113821137</v>
      </c>
      <c r="Q603" s="153">
        <f t="shared" si="99"/>
        <v>365.72878048780484</v>
      </c>
      <c r="S603" s="88"/>
      <c r="T603" s="88"/>
    </row>
    <row r="604" spans="1:20" ht="12.75">
      <c r="A604" s="965"/>
      <c r="B604" s="41">
        <v>8</v>
      </c>
      <c r="C604" s="169" t="s">
        <v>370</v>
      </c>
      <c r="D604" s="137">
        <v>44</v>
      </c>
      <c r="E604" s="137" t="s">
        <v>67</v>
      </c>
      <c r="F604" s="218">
        <v>52.55</v>
      </c>
      <c r="G604" s="218">
        <v>0</v>
      </c>
      <c r="H604" s="218">
        <v>0</v>
      </c>
      <c r="I604" s="218">
        <v>52.55</v>
      </c>
      <c r="J604" s="275">
        <v>1876</v>
      </c>
      <c r="K604" s="218">
        <v>52.55</v>
      </c>
      <c r="L604" s="275">
        <v>1876</v>
      </c>
      <c r="M604" s="150">
        <f t="shared" si="96"/>
        <v>0.028011727078891255</v>
      </c>
      <c r="N604" s="151">
        <v>225.6</v>
      </c>
      <c r="O604" s="428">
        <f t="shared" si="97"/>
        <v>6.319445628997867</v>
      </c>
      <c r="P604" s="171">
        <f t="shared" si="98"/>
        <v>1680.7036247334752</v>
      </c>
      <c r="Q604" s="153">
        <f t="shared" si="99"/>
        <v>379.166737739872</v>
      </c>
      <c r="S604" s="88"/>
      <c r="T604" s="88"/>
    </row>
    <row r="605" spans="1:20" ht="12.75">
      <c r="A605" s="965"/>
      <c r="B605" s="41">
        <v>9</v>
      </c>
      <c r="C605" s="257" t="s">
        <v>372</v>
      </c>
      <c r="D605" s="137">
        <v>10</v>
      </c>
      <c r="E605" s="137" t="s">
        <v>67</v>
      </c>
      <c r="F605" s="218">
        <v>17.97</v>
      </c>
      <c r="G605" s="218">
        <v>0.56</v>
      </c>
      <c r="H605" s="218">
        <v>1.52</v>
      </c>
      <c r="I605" s="218">
        <v>15.89</v>
      </c>
      <c r="J605" s="137">
        <v>528</v>
      </c>
      <c r="K605" s="218">
        <v>15.89</v>
      </c>
      <c r="L605" s="137">
        <v>528</v>
      </c>
      <c r="M605" s="150">
        <f t="shared" si="96"/>
        <v>0.03009469696969697</v>
      </c>
      <c r="N605" s="151">
        <v>225.6</v>
      </c>
      <c r="O605" s="428">
        <f t="shared" si="97"/>
        <v>6.789363636363636</v>
      </c>
      <c r="P605" s="171">
        <f t="shared" si="98"/>
        <v>1805.6818181818182</v>
      </c>
      <c r="Q605" s="153">
        <f t="shared" si="99"/>
        <v>407.3618181818182</v>
      </c>
      <c r="S605" s="88"/>
      <c r="T605" s="88"/>
    </row>
    <row r="606" spans="1:20" ht="13.5" thickBot="1">
      <c r="A606" s="966"/>
      <c r="B606" s="45">
        <v>10</v>
      </c>
      <c r="C606" s="258" t="s">
        <v>699</v>
      </c>
      <c r="D606" s="138">
        <v>12</v>
      </c>
      <c r="E606" s="138" t="s">
        <v>67</v>
      </c>
      <c r="F606" s="251">
        <v>19</v>
      </c>
      <c r="G606" s="251">
        <v>0.36</v>
      </c>
      <c r="H606" s="251">
        <v>0.12</v>
      </c>
      <c r="I606" s="251">
        <v>18.52</v>
      </c>
      <c r="J606" s="138">
        <v>601</v>
      </c>
      <c r="K606" s="251">
        <v>18.52</v>
      </c>
      <c r="L606" s="138">
        <v>601</v>
      </c>
      <c r="M606" s="154">
        <f t="shared" si="96"/>
        <v>0.0308153078202995</v>
      </c>
      <c r="N606" s="155">
        <v>225.6</v>
      </c>
      <c r="O606" s="488">
        <f t="shared" si="97"/>
        <v>6.951933444259566</v>
      </c>
      <c r="P606" s="156">
        <f t="shared" si="98"/>
        <v>1848.91846921797</v>
      </c>
      <c r="Q606" s="157">
        <f t="shared" si="99"/>
        <v>417.11600665557404</v>
      </c>
      <c r="S606" s="88"/>
      <c r="T606" s="88"/>
    </row>
    <row r="607" spans="19:20" ht="12.75">
      <c r="S607" s="88"/>
      <c r="T607" s="88"/>
    </row>
    <row r="608" spans="19:20" ht="12.75">
      <c r="S608" s="88"/>
      <c r="T608" s="88"/>
    </row>
    <row r="609" spans="19:20" ht="12.75">
      <c r="S609" s="88"/>
      <c r="T609" s="88"/>
    </row>
    <row r="610" spans="3:20" ht="12.75">
      <c r="C610" s="1"/>
      <c r="D610" s="1"/>
      <c r="E610" s="1"/>
      <c r="S610" s="88"/>
      <c r="T610" s="88"/>
    </row>
    <row r="611" spans="3:20" ht="12.75">
      <c r="C611" s="1"/>
      <c r="D611" s="1"/>
      <c r="E611" s="1"/>
      <c r="S611" s="88"/>
      <c r="T611" s="88"/>
    </row>
    <row r="612" spans="1:20" s="17" customFormat="1" ht="12.75" customHeight="1">
      <c r="A612" s="1034" t="s">
        <v>40</v>
      </c>
      <c r="B612" s="1034"/>
      <c r="C612" s="1034"/>
      <c r="D612" s="1034"/>
      <c r="E612" s="1034"/>
      <c r="F612" s="1034"/>
      <c r="G612" s="1034"/>
      <c r="H612" s="1034"/>
      <c r="I612" s="1034"/>
      <c r="J612" s="1034"/>
      <c r="K612" s="1034"/>
      <c r="L612" s="1034"/>
      <c r="M612" s="1034"/>
      <c r="N612" s="1034"/>
      <c r="O612" s="1034"/>
      <c r="P612" s="1034"/>
      <c r="Q612" s="1034"/>
      <c r="S612" s="88"/>
      <c r="T612" s="88"/>
    </row>
    <row r="613" spans="1:20" s="17" customFormat="1" ht="15" customHeight="1" thickBot="1">
      <c r="A613" s="1033" t="s">
        <v>700</v>
      </c>
      <c r="B613" s="1033"/>
      <c r="C613" s="1033"/>
      <c r="D613" s="1033"/>
      <c r="E613" s="1033"/>
      <c r="F613" s="1033"/>
      <c r="G613" s="1033"/>
      <c r="H613" s="1033"/>
      <c r="I613" s="1033"/>
      <c r="J613" s="1033"/>
      <c r="K613" s="1033"/>
      <c r="L613" s="1033"/>
      <c r="M613" s="1033"/>
      <c r="N613" s="1033"/>
      <c r="O613" s="1033"/>
      <c r="P613" s="1033"/>
      <c r="Q613" s="1033"/>
      <c r="S613" s="88"/>
      <c r="T613" s="88"/>
    </row>
    <row r="614" spans="1:20" ht="12.75" customHeight="1">
      <c r="A614" s="1038" t="s">
        <v>1</v>
      </c>
      <c r="B614" s="955" t="s">
        <v>0</v>
      </c>
      <c r="C614" s="1005" t="s">
        <v>2</v>
      </c>
      <c r="D614" s="1005" t="s">
        <v>3</v>
      </c>
      <c r="E614" s="1005" t="s">
        <v>41</v>
      </c>
      <c r="F614" s="1025" t="s">
        <v>14</v>
      </c>
      <c r="G614" s="1025"/>
      <c r="H614" s="1025"/>
      <c r="I614" s="1025"/>
      <c r="J614" s="1005" t="s">
        <v>4</v>
      </c>
      <c r="K614" s="1005" t="s">
        <v>15</v>
      </c>
      <c r="L614" s="1005" t="s">
        <v>5</v>
      </c>
      <c r="M614" s="1005" t="s">
        <v>6</v>
      </c>
      <c r="N614" s="1005" t="s">
        <v>16</v>
      </c>
      <c r="O614" s="1005" t="s">
        <v>17</v>
      </c>
      <c r="P614" s="1026" t="s">
        <v>25</v>
      </c>
      <c r="Q614" s="929" t="s">
        <v>26</v>
      </c>
      <c r="S614" s="88"/>
      <c r="T614" s="88"/>
    </row>
    <row r="615" spans="1:20" s="2" customFormat="1" ht="33.75">
      <c r="A615" s="1039"/>
      <c r="B615" s="956"/>
      <c r="C615" s="981"/>
      <c r="D615" s="981"/>
      <c r="E615" s="981"/>
      <c r="F615" s="37" t="s">
        <v>18</v>
      </c>
      <c r="G615" s="37" t="s">
        <v>19</v>
      </c>
      <c r="H615" s="37" t="s">
        <v>32</v>
      </c>
      <c r="I615" s="37" t="s">
        <v>21</v>
      </c>
      <c r="J615" s="981"/>
      <c r="K615" s="981"/>
      <c r="L615" s="981"/>
      <c r="M615" s="981"/>
      <c r="N615" s="981"/>
      <c r="O615" s="981"/>
      <c r="P615" s="1027"/>
      <c r="Q615" s="930"/>
      <c r="S615" s="88"/>
      <c r="T615" s="88"/>
    </row>
    <row r="616" spans="1:20" s="3" customFormat="1" ht="13.5" customHeight="1" thickBot="1">
      <c r="A616" s="1040"/>
      <c r="B616" s="956"/>
      <c r="C616" s="991"/>
      <c r="D616" s="58" t="s">
        <v>7</v>
      </c>
      <c r="E616" s="58" t="s">
        <v>8</v>
      </c>
      <c r="F616" s="58" t="s">
        <v>9</v>
      </c>
      <c r="G616" s="58" t="s">
        <v>9</v>
      </c>
      <c r="H616" s="58" t="s">
        <v>9</v>
      </c>
      <c r="I616" s="58" t="s">
        <v>9</v>
      </c>
      <c r="J616" s="58" t="s">
        <v>22</v>
      </c>
      <c r="K616" s="58" t="s">
        <v>9</v>
      </c>
      <c r="L616" s="58" t="s">
        <v>22</v>
      </c>
      <c r="M616" s="58" t="s">
        <v>23</v>
      </c>
      <c r="N616" s="58" t="s">
        <v>10</v>
      </c>
      <c r="O616" s="58" t="s">
        <v>24</v>
      </c>
      <c r="P616" s="65" t="s">
        <v>27</v>
      </c>
      <c r="Q616" s="60" t="s">
        <v>28</v>
      </c>
      <c r="S616" s="88"/>
      <c r="T616" s="88"/>
    </row>
    <row r="617" spans="1:20" ht="12.75">
      <c r="A617" s="1028" t="s">
        <v>11</v>
      </c>
      <c r="B617" s="29">
        <v>1</v>
      </c>
      <c r="C617" s="16" t="s">
        <v>259</v>
      </c>
      <c r="D617" s="30">
        <v>13</v>
      </c>
      <c r="E617" s="30">
        <v>2007</v>
      </c>
      <c r="F617" s="130">
        <f aca="true" t="shared" si="100" ref="F617:F656">G617+H617+I617</f>
        <v>12.995000000000001</v>
      </c>
      <c r="G617" s="130">
        <v>1.1771</v>
      </c>
      <c r="H617" s="130">
        <v>2</v>
      </c>
      <c r="I617" s="130">
        <v>9.8179</v>
      </c>
      <c r="J617" s="187">
        <v>1052.22</v>
      </c>
      <c r="K617" s="130">
        <v>9.8179</v>
      </c>
      <c r="L617" s="187">
        <v>1052.22</v>
      </c>
      <c r="M617" s="295">
        <f aca="true" t="shared" si="101" ref="M617:M656">K617/L617</f>
        <v>0.009330653285434604</v>
      </c>
      <c r="N617" s="126">
        <v>207.6</v>
      </c>
      <c r="O617" s="279">
        <f aca="true" t="shared" si="102" ref="O617:O656">M617*N617</f>
        <v>1.9370436220562237</v>
      </c>
      <c r="P617" s="279">
        <f aca="true" t="shared" si="103" ref="P617:P656">M617*1000*60</f>
        <v>559.8391971260762</v>
      </c>
      <c r="Q617" s="296">
        <f aca="true" t="shared" si="104" ref="Q617:Q656">O617*60</f>
        <v>116.22261732337343</v>
      </c>
      <c r="R617" s="6"/>
      <c r="S617" s="88"/>
      <c r="T617" s="88"/>
    </row>
    <row r="618" spans="1:20" ht="12.75">
      <c r="A618" s="1029"/>
      <c r="B618" s="30">
        <v>2</v>
      </c>
      <c r="C618" s="62" t="s">
        <v>452</v>
      </c>
      <c r="D618" s="61">
        <v>30</v>
      </c>
      <c r="E618" s="61" t="s">
        <v>257</v>
      </c>
      <c r="F618" s="407">
        <f t="shared" si="100"/>
        <v>26.336299999999998</v>
      </c>
      <c r="G618" s="199">
        <v>4.7643</v>
      </c>
      <c r="H618" s="199">
        <v>4.8</v>
      </c>
      <c r="I618" s="199">
        <v>16.772</v>
      </c>
      <c r="J618" s="458">
        <v>1717.43</v>
      </c>
      <c r="K618" s="199">
        <v>16.772</v>
      </c>
      <c r="L618" s="458">
        <v>1717.43</v>
      </c>
      <c r="M618" s="328">
        <f t="shared" si="101"/>
        <v>0.009765754645021921</v>
      </c>
      <c r="N618" s="198">
        <v>207.6</v>
      </c>
      <c r="O618" s="339">
        <f t="shared" si="102"/>
        <v>2.0273706643065506</v>
      </c>
      <c r="P618" s="339">
        <f t="shared" si="103"/>
        <v>585.9452787013153</v>
      </c>
      <c r="Q618" s="340">
        <f t="shared" si="104"/>
        <v>121.64223985839303</v>
      </c>
      <c r="S618" s="88"/>
      <c r="T618" s="88"/>
    </row>
    <row r="619" spans="1:20" ht="12.75">
      <c r="A619" s="1029"/>
      <c r="B619" s="30">
        <v>3</v>
      </c>
      <c r="C619" s="16" t="s">
        <v>256</v>
      </c>
      <c r="D619" s="30">
        <v>22</v>
      </c>
      <c r="E619" s="30">
        <v>2009</v>
      </c>
      <c r="F619" s="130">
        <f t="shared" si="100"/>
        <v>27.0501</v>
      </c>
      <c r="G619" s="130">
        <v>3.2509</v>
      </c>
      <c r="H619" s="130">
        <v>1.76</v>
      </c>
      <c r="I619" s="130">
        <v>22.0392</v>
      </c>
      <c r="J619" s="187">
        <v>2046.35</v>
      </c>
      <c r="K619" s="130">
        <v>22.0392</v>
      </c>
      <c r="L619" s="187">
        <v>2046.35</v>
      </c>
      <c r="M619" s="295">
        <f t="shared" si="101"/>
        <v>0.010770005131087059</v>
      </c>
      <c r="N619" s="126">
        <v>207.6</v>
      </c>
      <c r="O619" s="279">
        <f t="shared" si="102"/>
        <v>2.235853065213673</v>
      </c>
      <c r="P619" s="279">
        <f t="shared" si="103"/>
        <v>646.2003078652235</v>
      </c>
      <c r="Q619" s="296">
        <f t="shared" si="104"/>
        <v>134.1511839128204</v>
      </c>
      <c r="S619" s="88"/>
      <c r="T619" s="88"/>
    </row>
    <row r="620" spans="1:20" ht="12.75">
      <c r="A620" s="1029"/>
      <c r="B620" s="30">
        <v>4</v>
      </c>
      <c r="C620" s="16" t="s">
        <v>258</v>
      </c>
      <c r="D620" s="61">
        <v>30</v>
      </c>
      <c r="E620" s="61" t="s">
        <v>67</v>
      </c>
      <c r="F620" s="199">
        <f t="shared" si="100"/>
        <v>27.607</v>
      </c>
      <c r="G620" s="199">
        <v>3.0267</v>
      </c>
      <c r="H620" s="199">
        <v>4.8</v>
      </c>
      <c r="I620" s="199">
        <v>19.7803</v>
      </c>
      <c r="J620" s="458">
        <v>1712.83</v>
      </c>
      <c r="K620" s="199">
        <v>19.7803</v>
      </c>
      <c r="L620" s="458">
        <v>1712.83</v>
      </c>
      <c r="M620" s="328">
        <f t="shared" si="101"/>
        <v>0.01154831477729839</v>
      </c>
      <c r="N620" s="198">
        <v>204.7</v>
      </c>
      <c r="O620" s="308">
        <f t="shared" si="102"/>
        <v>2.36394003491298</v>
      </c>
      <c r="P620" s="308">
        <f t="shared" si="103"/>
        <v>692.8988866379033</v>
      </c>
      <c r="Q620" s="189">
        <f t="shared" si="104"/>
        <v>141.8364020947788</v>
      </c>
      <c r="S620" s="88"/>
      <c r="T620" s="88"/>
    </row>
    <row r="621" spans="1:20" ht="12.75">
      <c r="A621" s="1029"/>
      <c r="B621" s="30">
        <v>5</v>
      </c>
      <c r="C621" s="16" t="s">
        <v>453</v>
      </c>
      <c r="D621" s="30">
        <v>29</v>
      </c>
      <c r="E621" s="30" t="s">
        <v>67</v>
      </c>
      <c r="F621" s="403">
        <f t="shared" si="100"/>
        <v>27.351</v>
      </c>
      <c r="G621" s="403">
        <v>2.2981</v>
      </c>
      <c r="H621" s="403">
        <v>4.64</v>
      </c>
      <c r="I621" s="403">
        <v>20.4129</v>
      </c>
      <c r="J621" s="399">
        <v>1637.55</v>
      </c>
      <c r="K621" s="403">
        <v>20.4129</v>
      </c>
      <c r="L621" s="399">
        <v>1637.55</v>
      </c>
      <c r="M621" s="341">
        <f t="shared" si="101"/>
        <v>0.01246551250343501</v>
      </c>
      <c r="N621" s="519">
        <v>204.7</v>
      </c>
      <c r="O621" s="342">
        <f t="shared" si="102"/>
        <v>2.5516904094531463</v>
      </c>
      <c r="P621" s="342">
        <f t="shared" si="103"/>
        <v>747.9307502061006</v>
      </c>
      <c r="Q621" s="343">
        <f t="shared" si="104"/>
        <v>153.1014245671888</v>
      </c>
      <c r="S621" s="88"/>
      <c r="T621" s="88"/>
    </row>
    <row r="622" spans="1:20" ht="12.75">
      <c r="A622" s="1029"/>
      <c r="B622" s="30">
        <v>6</v>
      </c>
      <c r="C622" s="16" t="s">
        <v>261</v>
      </c>
      <c r="D622" s="30">
        <v>40</v>
      </c>
      <c r="E622" s="30" t="s">
        <v>67</v>
      </c>
      <c r="F622" s="130">
        <f t="shared" si="100"/>
        <v>45.6301</v>
      </c>
      <c r="G622" s="130">
        <v>6.8549</v>
      </c>
      <c r="H622" s="130">
        <v>6.4</v>
      </c>
      <c r="I622" s="130">
        <v>32.3752</v>
      </c>
      <c r="J622" s="187">
        <v>2229.96</v>
      </c>
      <c r="K622" s="130">
        <v>32.3752</v>
      </c>
      <c r="L622" s="187">
        <v>2229.96</v>
      </c>
      <c r="M622" s="295">
        <f t="shared" si="101"/>
        <v>0.014518287323539436</v>
      </c>
      <c r="N622" s="126">
        <v>207.6</v>
      </c>
      <c r="O622" s="279">
        <f t="shared" si="102"/>
        <v>3.013996448366787</v>
      </c>
      <c r="P622" s="279">
        <f t="shared" si="103"/>
        <v>871.0972394123662</v>
      </c>
      <c r="Q622" s="296">
        <f t="shared" si="104"/>
        <v>180.8397869020072</v>
      </c>
      <c r="S622" s="88"/>
      <c r="T622" s="88"/>
    </row>
    <row r="623" spans="1:20" ht="12.75">
      <c r="A623" s="1029"/>
      <c r="B623" s="30">
        <v>7</v>
      </c>
      <c r="C623" s="16" t="s">
        <v>373</v>
      </c>
      <c r="D623" s="30">
        <v>41</v>
      </c>
      <c r="E623" s="30" t="s">
        <v>67</v>
      </c>
      <c r="F623" s="130">
        <f t="shared" si="100"/>
        <v>47.4632</v>
      </c>
      <c r="G623" s="130">
        <v>6.5579</v>
      </c>
      <c r="H623" s="130">
        <v>6.56</v>
      </c>
      <c r="I623" s="130">
        <v>34.3453</v>
      </c>
      <c r="J623" s="187">
        <v>2326.63</v>
      </c>
      <c r="K623" s="130">
        <v>34.3453</v>
      </c>
      <c r="L623" s="187">
        <v>2326.63</v>
      </c>
      <c r="M623" s="328">
        <f t="shared" si="101"/>
        <v>0.01476182289405707</v>
      </c>
      <c r="N623" s="126">
        <v>207.6</v>
      </c>
      <c r="O623" s="279">
        <f t="shared" si="102"/>
        <v>3.064554432806248</v>
      </c>
      <c r="P623" s="279">
        <f t="shared" si="103"/>
        <v>885.7093736434242</v>
      </c>
      <c r="Q623" s="296">
        <f t="shared" si="104"/>
        <v>183.87326596837488</v>
      </c>
      <c r="S623" s="88"/>
      <c r="T623" s="88"/>
    </row>
    <row r="624" spans="1:20" ht="12.75">
      <c r="A624" s="1029"/>
      <c r="B624" s="30">
        <v>8</v>
      </c>
      <c r="C624" s="62" t="s">
        <v>454</v>
      </c>
      <c r="D624" s="61">
        <v>60</v>
      </c>
      <c r="E624" s="61" t="s">
        <v>67</v>
      </c>
      <c r="F624" s="130">
        <f t="shared" si="100"/>
        <v>63.367000000000004</v>
      </c>
      <c r="G624" s="199">
        <v>5.8853</v>
      </c>
      <c r="H624" s="199">
        <v>9.6</v>
      </c>
      <c r="I624" s="199">
        <v>47.8817</v>
      </c>
      <c r="J624" s="458">
        <v>3137.37</v>
      </c>
      <c r="K624" s="199">
        <v>47.8817</v>
      </c>
      <c r="L624" s="458">
        <v>3137.37</v>
      </c>
      <c r="M624" s="328">
        <f t="shared" si="101"/>
        <v>0.015261731960208712</v>
      </c>
      <c r="N624" s="198">
        <v>207.6</v>
      </c>
      <c r="O624" s="279">
        <f t="shared" si="102"/>
        <v>3.1683355549393286</v>
      </c>
      <c r="P624" s="279">
        <f t="shared" si="103"/>
        <v>915.7039176125227</v>
      </c>
      <c r="Q624" s="296">
        <f t="shared" si="104"/>
        <v>190.10013329635973</v>
      </c>
      <c r="S624" s="88"/>
      <c r="T624" s="88"/>
    </row>
    <row r="625" spans="1:20" ht="12.75">
      <c r="A625" s="1029"/>
      <c r="B625" s="30">
        <v>9</v>
      </c>
      <c r="C625" s="16" t="s">
        <v>701</v>
      </c>
      <c r="D625" s="30">
        <v>12</v>
      </c>
      <c r="E625" s="30" t="s">
        <v>67</v>
      </c>
      <c r="F625" s="130">
        <f t="shared" si="100"/>
        <v>13.8091</v>
      </c>
      <c r="G625" s="130">
        <v>1.3452</v>
      </c>
      <c r="H625" s="130">
        <v>1.92</v>
      </c>
      <c r="I625" s="130">
        <v>10.5439</v>
      </c>
      <c r="J625" s="187">
        <v>687.4</v>
      </c>
      <c r="K625" s="130">
        <v>10.5439</v>
      </c>
      <c r="L625" s="187">
        <v>687.4</v>
      </c>
      <c r="M625" s="328">
        <f t="shared" si="101"/>
        <v>0.015338812918242656</v>
      </c>
      <c r="N625" s="126">
        <v>207.6</v>
      </c>
      <c r="O625" s="279">
        <f t="shared" si="102"/>
        <v>3.184337561827175</v>
      </c>
      <c r="P625" s="279">
        <f t="shared" si="103"/>
        <v>920.3287750945593</v>
      </c>
      <c r="Q625" s="296">
        <f t="shared" si="104"/>
        <v>191.0602537096305</v>
      </c>
      <c r="S625" s="88"/>
      <c r="T625" s="88"/>
    </row>
    <row r="626" spans="1:20" s="92" customFormat="1" ht="13.5" thickBot="1">
      <c r="A626" s="1030"/>
      <c r="B626" s="103">
        <v>10</v>
      </c>
      <c r="C626" s="16" t="s">
        <v>455</v>
      </c>
      <c r="D626" s="30">
        <v>20</v>
      </c>
      <c r="E626" s="30" t="s">
        <v>67</v>
      </c>
      <c r="F626" s="130">
        <f t="shared" si="100"/>
        <v>22.918</v>
      </c>
      <c r="G626" s="130">
        <v>2.696</v>
      </c>
      <c r="H626" s="130">
        <v>3.2</v>
      </c>
      <c r="I626" s="130">
        <v>17.022</v>
      </c>
      <c r="J626" s="187">
        <v>1105.9</v>
      </c>
      <c r="K626" s="130">
        <v>17.022</v>
      </c>
      <c r="L626" s="187">
        <v>1105.9</v>
      </c>
      <c r="M626" s="297">
        <f t="shared" si="101"/>
        <v>0.015391988425716608</v>
      </c>
      <c r="N626" s="126">
        <v>207.6</v>
      </c>
      <c r="O626" s="339">
        <f t="shared" si="102"/>
        <v>3.195376797178768</v>
      </c>
      <c r="P626" s="339">
        <f t="shared" si="103"/>
        <v>923.5193055429964</v>
      </c>
      <c r="Q626" s="340">
        <f t="shared" si="104"/>
        <v>191.72260783072608</v>
      </c>
      <c r="S626" s="88"/>
      <c r="T626" s="88"/>
    </row>
    <row r="627" spans="1:20" ht="12.75">
      <c r="A627" s="1019" t="s">
        <v>29</v>
      </c>
      <c r="B627" s="752">
        <v>1</v>
      </c>
      <c r="C627" s="801" t="s">
        <v>702</v>
      </c>
      <c r="D627" s="752">
        <v>22</v>
      </c>
      <c r="E627" s="752" t="s">
        <v>67</v>
      </c>
      <c r="F627" s="820">
        <f t="shared" si="100"/>
        <v>25.0798</v>
      </c>
      <c r="G627" s="802">
        <v>2.8025</v>
      </c>
      <c r="H627" s="802">
        <v>3.52</v>
      </c>
      <c r="I627" s="802">
        <v>18.7573</v>
      </c>
      <c r="J627" s="803">
        <v>1210.94</v>
      </c>
      <c r="K627" s="802">
        <v>18.7573</v>
      </c>
      <c r="L627" s="803">
        <v>1210.94</v>
      </c>
      <c r="M627" s="770">
        <f t="shared" si="101"/>
        <v>0.015489867375757676</v>
      </c>
      <c r="N627" s="805">
        <v>207.6</v>
      </c>
      <c r="O627" s="821">
        <f t="shared" si="102"/>
        <v>3.2156964672072936</v>
      </c>
      <c r="P627" s="821">
        <f t="shared" si="103"/>
        <v>929.3920425454605</v>
      </c>
      <c r="Q627" s="822">
        <f t="shared" si="104"/>
        <v>192.94178803243761</v>
      </c>
      <c r="S627" s="88"/>
      <c r="T627" s="88"/>
    </row>
    <row r="628" spans="1:20" ht="12.75">
      <c r="A628" s="1020"/>
      <c r="B628" s="725">
        <v>2</v>
      </c>
      <c r="C628" s="765" t="s">
        <v>703</v>
      </c>
      <c r="D628" s="725">
        <v>50</v>
      </c>
      <c r="E628" s="725" t="s">
        <v>67</v>
      </c>
      <c r="F628" s="727">
        <f t="shared" si="100"/>
        <v>53.574200000000005</v>
      </c>
      <c r="G628" s="727">
        <v>4.7699</v>
      </c>
      <c r="H628" s="727">
        <v>7.92</v>
      </c>
      <c r="I628" s="727">
        <v>40.8843</v>
      </c>
      <c r="J628" s="728">
        <v>2596.6</v>
      </c>
      <c r="K628" s="727">
        <v>40.8843</v>
      </c>
      <c r="L628" s="728">
        <v>2596.6</v>
      </c>
      <c r="M628" s="770">
        <f t="shared" si="101"/>
        <v>0.015745320804128476</v>
      </c>
      <c r="N628" s="730">
        <v>207.6</v>
      </c>
      <c r="O628" s="733">
        <f t="shared" si="102"/>
        <v>3.2687285989370714</v>
      </c>
      <c r="P628" s="733">
        <f t="shared" si="103"/>
        <v>944.7192482477085</v>
      </c>
      <c r="Q628" s="731">
        <f t="shared" si="104"/>
        <v>196.12371593622427</v>
      </c>
      <c r="S628" s="88"/>
      <c r="T628" s="88"/>
    </row>
    <row r="629" spans="1:20" s="92" customFormat="1" ht="12.75">
      <c r="A629" s="1020"/>
      <c r="B629" s="755">
        <v>3</v>
      </c>
      <c r="C629" s="765" t="s">
        <v>260</v>
      </c>
      <c r="D629" s="725">
        <v>60</v>
      </c>
      <c r="E629" s="725" t="s">
        <v>67</v>
      </c>
      <c r="F629" s="727">
        <f t="shared" si="100"/>
        <v>67.0899</v>
      </c>
      <c r="G629" s="727">
        <v>6.0646</v>
      </c>
      <c r="H629" s="727">
        <v>9.6</v>
      </c>
      <c r="I629" s="727">
        <v>51.4253</v>
      </c>
      <c r="J629" s="728">
        <v>3136.98</v>
      </c>
      <c r="K629" s="727">
        <v>51.4253</v>
      </c>
      <c r="L629" s="728">
        <v>3136.98</v>
      </c>
      <c r="M629" s="729">
        <f t="shared" si="101"/>
        <v>0.016393250833604295</v>
      </c>
      <c r="N629" s="730">
        <v>207.6</v>
      </c>
      <c r="O629" s="823">
        <f t="shared" si="102"/>
        <v>3.4032388730562517</v>
      </c>
      <c r="P629" s="823">
        <f t="shared" si="103"/>
        <v>983.5950500162577</v>
      </c>
      <c r="Q629" s="813">
        <f t="shared" si="104"/>
        <v>204.1943323833751</v>
      </c>
      <c r="S629" s="88"/>
      <c r="T629" s="88"/>
    </row>
    <row r="630" spans="1:20" ht="12.75">
      <c r="A630" s="1020"/>
      <c r="B630" s="725">
        <v>4</v>
      </c>
      <c r="C630" s="765" t="s">
        <v>704</v>
      </c>
      <c r="D630" s="725">
        <v>30</v>
      </c>
      <c r="E630" s="725">
        <v>1993</v>
      </c>
      <c r="F630" s="727">
        <f t="shared" si="100"/>
        <v>36.846000000000004</v>
      </c>
      <c r="G630" s="727">
        <v>3.6545</v>
      </c>
      <c r="H630" s="727">
        <v>4.8</v>
      </c>
      <c r="I630" s="727">
        <v>28.3915</v>
      </c>
      <c r="J630" s="728">
        <v>1726.08</v>
      </c>
      <c r="K630" s="727">
        <v>28.3915</v>
      </c>
      <c r="L630" s="728">
        <v>1726.08</v>
      </c>
      <c r="M630" s="729">
        <f t="shared" si="101"/>
        <v>0.016448542361883575</v>
      </c>
      <c r="N630" s="730">
        <v>207.6</v>
      </c>
      <c r="O630" s="733">
        <f t="shared" si="102"/>
        <v>3.41471739432703</v>
      </c>
      <c r="P630" s="733">
        <f t="shared" si="103"/>
        <v>986.9125417130145</v>
      </c>
      <c r="Q630" s="731">
        <f t="shared" si="104"/>
        <v>204.88304365962182</v>
      </c>
      <c r="S630" s="88"/>
      <c r="T630" s="88"/>
    </row>
    <row r="631" spans="1:20" ht="12.75">
      <c r="A631" s="1020"/>
      <c r="B631" s="725">
        <v>5</v>
      </c>
      <c r="C631" s="765" t="s">
        <v>705</v>
      </c>
      <c r="D631" s="725">
        <v>20</v>
      </c>
      <c r="E631" s="725" t="s">
        <v>67</v>
      </c>
      <c r="F631" s="824">
        <f t="shared" si="100"/>
        <v>24.650100000000002</v>
      </c>
      <c r="G631" s="727">
        <v>3.0267</v>
      </c>
      <c r="H631" s="727">
        <v>3.2</v>
      </c>
      <c r="I631" s="727">
        <v>18.4234</v>
      </c>
      <c r="J631" s="728">
        <v>1116.28</v>
      </c>
      <c r="K631" s="727">
        <v>18.4234</v>
      </c>
      <c r="L631" s="728">
        <v>1116.28</v>
      </c>
      <c r="M631" s="729">
        <f t="shared" si="101"/>
        <v>0.016504282079764936</v>
      </c>
      <c r="N631" s="730">
        <v>207.6</v>
      </c>
      <c r="O631" s="823">
        <f t="shared" si="102"/>
        <v>3.4262889597592006</v>
      </c>
      <c r="P631" s="823">
        <f t="shared" si="103"/>
        <v>990.2569247858962</v>
      </c>
      <c r="Q631" s="813">
        <f t="shared" si="104"/>
        <v>205.57733758555204</v>
      </c>
      <c r="S631" s="88"/>
      <c r="T631" s="88"/>
    </row>
    <row r="632" spans="1:20" ht="12.75">
      <c r="A632" s="1020"/>
      <c r="B632" s="725">
        <v>6</v>
      </c>
      <c r="C632" s="765" t="s">
        <v>374</v>
      </c>
      <c r="D632" s="725">
        <v>100</v>
      </c>
      <c r="E632" s="725" t="s">
        <v>67</v>
      </c>
      <c r="F632" s="727">
        <f t="shared" si="100"/>
        <v>85.2666</v>
      </c>
      <c r="G632" s="727">
        <v>8.1497</v>
      </c>
      <c r="H632" s="727">
        <v>16</v>
      </c>
      <c r="I632" s="727">
        <v>61.1169</v>
      </c>
      <c r="J632" s="728">
        <v>3692.95</v>
      </c>
      <c r="K632" s="727">
        <v>61.1169</v>
      </c>
      <c r="L632" s="728">
        <v>3692.95</v>
      </c>
      <c r="M632" s="729">
        <f t="shared" si="101"/>
        <v>0.016549614806590937</v>
      </c>
      <c r="N632" s="730">
        <v>207.6</v>
      </c>
      <c r="O632" s="733">
        <f t="shared" si="102"/>
        <v>3.4357000338482786</v>
      </c>
      <c r="P632" s="733">
        <f t="shared" si="103"/>
        <v>992.9768883954563</v>
      </c>
      <c r="Q632" s="731">
        <f t="shared" si="104"/>
        <v>206.14200203089672</v>
      </c>
      <c r="S632" s="88"/>
      <c r="T632" s="88"/>
    </row>
    <row r="633" spans="1:20" ht="12.75">
      <c r="A633" s="1020"/>
      <c r="B633" s="725">
        <v>7</v>
      </c>
      <c r="C633" s="765" t="s">
        <v>706</v>
      </c>
      <c r="D633" s="725">
        <v>18</v>
      </c>
      <c r="E633" s="725" t="s">
        <v>67</v>
      </c>
      <c r="F633" s="824">
        <f t="shared" si="100"/>
        <v>28.290100000000002</v>
      </c>
      <c r="G633" s="727">
        <v>3.0828</v>
      </c>
      <c r="H633" s="727">
        <v>2.88</v>
      </c>
      <c r="I633" s="727">
        <v>22.3273</v>
      </c>
      <c r="J633" s="728">
        <v>1330.03</v>
      </c>
      <c r="K633" s="727">
        <v>22.3273</v>
      </c>
      <c r="L633" s="728">
        <v>1330.03</v>
      </c>
      <c r="M633" s="729">
        <f t="shared" si="101"/>
        <v>0.016787064953422106</v>
      </c>
      <c r="N633" s="730">
        <v>207.6</v>
      </c>
      <c r="O633" s="823">
        <f t="shared" si="102"/>
        <v>3.484994684330429</v>
      </c>
      <c r="P633" s="823">
        <f t="shared" si="103"/>
        <v>1007.2238972053264</v>
      </c>
      <c r="Q633" s="813">
        <f t="shared" si="104"/>
        <v>209.09968105982574</v>
      </c>
      <c r="S633" s="88"/>
      <c r="T633" s="88"/>
    </row>
    <row r="634" spans="1:20" ht="12.75">
      <c r="A634" s="1020"/>
      <c r="B634" s="725">
        <v>8</v>
      </c>
      <c r="C634" s="765" t="s">
        <v>707</v>
      </c>
      <c r="D634" s="725">
        <v>21</v>
      </c>
      <c r="E634" s="725" t="s">
        <v>67</v>
      </c>
      <c r="F634" s="727">
        <f t="shared" si="100"/>
        <v>28.246100000000002</v>
      </c>
      <c r="G634" s="727">
        <v>2.4661</v>
      </c>
      <c r="H634" s="727">
        <v>6.151</v>
      </c>
      <c r="I634" s="727">
        <v>19.629</v>
      </c>
      <c r="J634" s="728">
        <v>1166.51</v>
      </c>
      <c r="K634" s="727">
        <v>19.629</v>
      </c>
      <c r="L634" s="728">
        <v>1166.51</v>
      </c>
      <c r="M634" s="729">
        <f t="shared" si="101"/>
        <v>0.016827116784253887</v>
      </c>
      <c r="N634" s="730">
        <v>207.6</v>
      </c>
      <c r="O634" s="733">
        <f t="shared" si="102"/>
        <v>3.493309444411107</v>
      </c>
      <c r="P634" s="733">
        <f t="shared" si="103"/>
        <v>1009.6270070552333</v>
      </c>
      <c r="Q634" s="731">
        <f t="shared" si="104"/>
        <v>209.5985666646664</v>
      </c>
      <c r="S634" s="88"/>
      <c r="T634" s="88"/>
    </row>
    <row r="635" spans="1:20" ht="12.75">
      <c r="A635" s="1020"/>
      <c r="B635" s="725">
        <v>9</v>
      </c>
      <c r="C635" s="765" t="s">
        <v>708</v>
      </c>
      <c r="D635" s="725">
        <v>24</v>
      </c>
      <c r="E635" s="725" t="s">
        <v>67</v>
      </c>
      <c r="F635" s="727">
        <f t="shared" si="100"/>
        <v>28.4</v>
      </c>
      <c r="G635" s="727">
        <v>2.3541</v>
      </c>
      <c r="H635" s="727">
        <v>3.84</v>
      </c>
      <c r="I635" s="727">
        <v>22.2059</v>
      </c>
      <c r="J635" s="728">
        <v>1308.77</v>
      </c>
      <c r="K635" s="727">
        <v>22.2059</v>
      </c>
      <c r="L635" s="728">
        <v>1308.77</v>
      </c>
      <c r="M635" s="729">
        <f t="shared" si="101"/>
        <v>0.016966999549195047</v>
      </c>
      <c r="N635" s="730">
        <v>207.6</v>
      </c>
      <c r="O635" s="733">
        <f t="shared" si="102"/>
        <v>3.5223491064128916</v>
      </c>
      <c r="P635" s="733">
        <f t="shared" si="103"/>
        <v>1018.0199729517029</v>
      </c>
      <c r="Q635" s="731">
        <f t="shared" si="104"/>
        <v>211.3409463847735</v>
      </c>
      <c r="S635" s="88"/>
      <c r="T635" s="88"/>
    </row>
    <row r="636" spans="1:20" ht="13.5" thickBot="1">
      <c r="A636" s="1021"/>
      <c r="B636" s="725">
        <v>10</v>
      </c>
      <c r="C636" s="773" t="s">
        <v>709</v>
      </c>
      <c r="D636" s="736">
        <v>9</v>
      </c>
      <c r="E636" s="736" t="s">
        <v>67</v>
      </c>
      <c r="F636" s="768">
        <f t="shared" si="100"/>
        <v>13.9051</v>
      </c>
      <c r="G636" s="737">
        <v>1.8497</v>
      </c>
      <c r="H636" s="737">
        <v>1.44</v>
      </c>
      <c r="I636" s="737">
        <v>10.6154</v>
      </c>
      <c r="J636" s="738">
        <v>624.82</v>
      </c>
      <c r="K636" s="737">
        <v>10.6154</v>
      </c>
      <c r="L636" s="738">
        <v>624.82</v>
      </c>
      <c r="M636" s="739">
        <f t="shared" si="101"/>
        <v>0.016989532985499822</v>
      </c>
      <c r="N636" s="740">
        <v>207.6</v>
      </c>
      <c r="O636" s="733">
        <f t="shared" si="102"/>
        <v>3.527027047789763</v>
      </c>
      <c r="P636" s="825">
        <f t="shared" si="103"/>
        <v>1019.3719791299893</v>
      </c>
      <c r="Q636" s="772">
        <f t="shared" si="104"/>
        <v>211.62162286738578</v>
      </c>
      <c r="S636" s="88"/>
      <c r="T636" s="88"/>
    </row>
    <row r="637" spans="1:20" ht="12.75">
      <c r="A637" s="918" t="s">
        <v>30</v>
      </c>
      <c r="B637" s="32">
        <v>1</v>
      </c>
      <c r="C637" s="74" t="s">
        <v>264</v>
      </c>
      <c r="D637" s="82">
        <v>24</v>
      </c>
      <c r="E637" s="82" t="s">
        <v>67</v>
      </c>
      <c r="F637" s="392">
        <f t="shared" si="100"/>
        <v>29.759999999999998</v>
      </c>
      <c r="G637" s="237">
        <v>1.6255</v>
      </c>
      <c r="H637" s="237">
        <v>3.84</v>
      </c>
      <c r="I637" s="237">
        <v>24.2945</v>
      </c>
      <c r="J637" s="394">
        <v>906.24</v>
      </c>
      <c r="K637" s="237">
        <v>24.2945</v>
      </c>
      <c r="L637" s="394">
        <v>906.24</v>
      </c>
      <c r="M637" s="335">
        <f t="shared" si="101"/>
        <v>0.02680801995056497</v>
      </c>
      <c r="N637" s="236">
        <v>207.6</v>
      </c>
      <c r="O637" s="332">
        <f t="shared" si="102"/>
        <v>5.565344941737288</v>
      </c>
      <c r="P637" s="332">
        <f t="shared" si="103"/>
        <v>1608.481197033898</v>
      </c>
      <c r="Q637" s="353">
        <f t="shared" si="104"/>
        <v>333.92069650423724</v>
      </c>
      <c r="S637" s="88"/>
      <c r="T637" s="88"/>
    </row>
    <row r="638" spans="1:20" ht="12.75">
      <c r="A638" s="1022"/>
      <c r="B638" s="75">
        <v>2</v>
      </c>
      <c r="C638" s="33" t="s">
        <v>710</v>
      </c>
      <c r="D638" s="34">
        <v>20</v>
      </c>
      <c r="E638" s="34" t="s">
        <v>67</v>
      </c>
      <c r="F638" s="200">
        <f t="shared" si="100"/>
        <v>33.6139</v>
      </c>
      <c r="G638" s="200">
        <v>2.6545</v>
      </c>
      <c r="H638" s="200">
        <v>3.2</v>
      </c>
      <c r="I638" s="200">
        <v>27.7594</v>
      </c>
      <c r="J638" s="309">
        <v>1022.18</v>
      </c>
      <c r="K638" s="200">
        <v>27.7594</v>
      </c>
      <c r="L638" s="309">
        <v>1022.18</v>
      </c>
      <c r="M638" s="301">
        <f t="shared" si="101"/>
        <v>0.027157056487115774</v>
      </c>
      <c r="N638" s="176">
        <v>207.6</v>
      </c>
      <c r="O638" s="338">
        <f t="shared" si="102"/>
        <v>5.637804926725234</v>
      </c>
      <c r="P638" s="338">
        <f t="shared" si="103"/>
        <v>1629.4233892269465</v>
      </c>
      <c r="Q638" s="177">
        <f t="shared" si="104"/>
        <v>338.26829560351405</v>
      </c>
      <c r="S638" s="88"/>
      <c r="T638" s="88"/>
    </row>
    <row r="639" spans="1:20" ht="12.75">
      <c r="A639" s="1022"/>
      <c r="B639" s="34">
        <v>3</v>
      </c>
      <c r="C639" s="33" t="s">
        <v>266</v>
      </c>
      <c r="D639" s="34">
        <v>4</v>
      </c>
      <c r="E639" s="34" t="s">
        <v>67</v>
      </c>
      <c r="F639" s="408">
        <f t="shared" si="100"/>
        <v>7.928</v>
      </c>
      <c r="G639" s="200">
        <v>0.3363</v>
      </c>
      <c r="H639" s="200">
        <v>0.64</v>
      </c>
      <c r="I639" s="200">
        <v>6.9517</v>
      </c>
      <c r="J639" s="309">
        <v>254.45</v>
      </c>
      <c r="K639" s="200">
        <v>6.9517</v>
      </c>
      <c r="L639" s="309">
        <v>254.45</v>
      </c>
      <c r="M639" s="301">
        <f t="shared" si="101"/>
        <v>0.027320495185694637</v>
      </c>
      <c r="N639" s="176">
        <v>207.6</v>
      </c>
      <c r="O639" s="336">
        <f t="shared" si="102"/>
        <v>5.671734800550206</v>
      </c>
      <c r="P639" s="336">
        <f t="shared" si="103"/>
        <v>1639.229711141678</v>
      </c>
      <c r="Q639" s="267">
        <f t="shared" si="104"/>
        <v>340.30408803301236</v>
      </c>
      <c r="S639" s="88"/>
      <c r="T639" s="88"/>
    </row>
    <row r="640" spans="1:20" ht="12.75">
      <c r="A640" s="919"/>
      <c r="B640" s="34">
        <v>4</v>
      </c>
      <c r="C640" s="33" t="s">
        <v>711</v>
      </c>
      <c r="D640" s="34">
        <v>12</v>
      </c>
      <c r="E640" s="34" t="s">
        <v>67</v>
      </c>
      <c r="F640" s="200">
        <f t="shared" si="100"/>
        <v>17.6999</v>
      </c>
      <c r="G640" s="200">
        <v>0.8127</v>
      </c>
      <c r="H640" s="200">
        <v>1.92</v>
      </c>
      <c r="I640" s="200">
        <v>14.9672</v>
      </c>
      <c r="J640" s="309">
        <v>543.85</v>
      </c>
      <c r="K640" s="200">
        <v>14.9672</v>
      </c>
      <c r="L640" s="309">
        <v>543.85</v>
      </c>
      <c r="M640" s="301">
        <f t="shared" si="101"/>
        <v>0.02752082375655052</v>
      </c>
      <c r="N640" s="176">
        <v>207.6</v>
      </c>
      <c r="O640" s="338">
        <f t="shared" si="102"/>
        <v>5.713323011859888</v>
      </c>
      <c r="P640" s="338">
        <f t="shared" si="103"/>
        <v>1651.2494253930313</v>
      </c>
      <c r="Q640" s="177">
        <f t="shared" si="104"/>
        <v>342.7993807115933</v>
      </c>
      <c r="S640" s="88"/>
      <c r="T640" s="88"/>
    </row>
    <row r="641" spans="1:20" ht="12.75">
      <c r="A641" s="919"/>
      <c r="B641" s="34">
        <v>5</v>
      </c>
      <c r="C641" s="33" t="s">
        <v>459</v>
      </c>
      <c r="D641" s="34">
        <v>9</v>
      </c>
      <c r="E641" s="34" t="s">
        <v>67</v>
      </c>
      <c r="F641" s="408">
        <f t="shared" si="100"/>
        <v>15.386</v>
      </c>
      <c r="G641" s="200">
        <v>1.2331</v>
      </c>
      <c r="H641" s="200">
        <v>1.44</v>
      </c>
      <c r="I641" s="200">
        <v>12.7129</v>
      </c>
      <c r="J641" s="309">
        <v>454.35</v>
      </c>
      <c r="K641" s="200">
        <v>12.7129</v>
      </c>
      <c r="L641" s="309">
        <v>454.35</v>
      </c>
      <c r="M641" s="301">
        <f t="shared" si="101"/>
        <v>0.027980411576978097</v>
      </c>
      <c r="N641" s="176">
        <v>207.6</v>
      </c>
      <c r="O641" s="336">
        <f t="shared" si="102"/>
        <v>5.808733443380653</v>
      </c>
      <c r="P641" s="336">
        <f t="shared" si="103"/>
        <v>1678.8246946186857</v>
      </c>
      <c r="Q641" s="267">
        <f t="shared" si="104"/>
        <v>348.5240066028392</v>
      </c>
      <c r="S641" s="88"/>
      <c r="T641" s="88"/>
    </row>
    <row r="642" spans="1:20" ht="12.75">
      <c r="A642" s="919"/>
      <c r="B642" s="34">
        <v>6</v>
      </c>
      <c r="C642" s="33" t="s">
        <v>457</v>
      </c>
      <c r="D642" s="34">
        <v>21</v>
      </c>
      <c r="E642" s="34" t="s">
        <v>67</v>
      </c>
      <c r="F642" s="200">
        <f t="shared" si="100"/>
        <v>19.8169</v>
      </c>
      <c r="G642" s="200">
        <v>1.6815</v>
      </c>
      <c r="H642" s="200">
        <v>0</v>
      </c>
      <c r="I642" s="200">
        <v>18.1354</v>
      </c>
      <c r="J642" s="309">
        <v>634.03</v>
      </c>
      <c r="K642" s="200">
        <v>18.1354</v>
      </c>
      <c r="L642" s="309">
        <v>634.03</v>
      </c>
      <c r="M642" s="301">
        <f t="shared" si="101"/>
        <v>0.028603378389035223</v>
      </c>
      <c r="N642" s="176">
        <v>207.6</v>
      </c>
      <c r="O642" s="338">
        <f t="shared" si="102"/>
        <v>5.938061353563712</v>
      </c>
      <c r="P642" s="338">
        <f t="shared" si="103"/>
        <v>1716.2027033421134</v>
      </c>
      <c r="Q642" s="177">
        <f t="shared" si="104"/>
        <v>356.2836812138227</v>
      </c>
      <c r="S642" s="88"/>
      <c r="T642" s="88"/>
    </row>
    <row r="643" spans="1:20" ht="12.75">
      <c r="A643" s="919"/>
      <c r="B643" s="34">
        <v>7</v>
      </c>
      <c r="C643" s="33" t="s">
        <v>456</v>
      </c>
      <c r="D643" s="34">
        <v>4</v>
      </c>
      <c r="E643" s="34" t="s">
        <v>67</v>
      </c>
      <c r="F643" s="408">
        <f t="shared" si="100"/>
        <v>3.411</v>
      </c>
      <c r="G643" s="200">
        <v>0.0561</v>
      </c>
      <c r="H643" s="200">
        <v>0.32</v>
      </c>
      <c r="I643" s="200">
        <v>3.0349</v>
      </c>
      <c r="J643" s="309">
        <v>105.63</v>
      </c>
      <c r="K643" s="200">
        <v>3.0349</v>
      </c>
      <c r="L643" s="309">
        <v>105.63</v>
      </c>
      <c r="M643" s="301">
        <f t="shared" si="101"/>
        <v>0.02873142099782259</v>
      </c>
      <c r="N643" s="176">
        <v>207.6</v>
      </c>
      <c r="O643" s="336">
        <f t="shared" si="102"/>
        <v>5.964642999147969</v>
      </c>
      <c r="P643" s="336">
        <f t="shared" si="103"/>
        <v>1723.8852598693554</v>
      </c>
      <c r="Q643" s="267">
        <f t="shared" si="104"/>
        <v>357.87857994887815</v>
      </c>
      <c r="S643" s="88"/>
      <c r="T643" s="88"/>
    </row>
    <row r="644" spans="1:20" ht="12.75">
      <c r="A644" s="919"/>
      <c r="B644" s="34">
        <v>8</v>
      </c>
      <c r="C644" s="33" t="s">
        <v>712</v>
      </c>
      <c r="D644" s="34">
        <v>9</v>
      </c>
      <c r="E644" s="34" t="s">
        <v>67</v>
      </c>
      <c r="F644" s="200">
        <f t="shared" si="100"/>
        <v>21.321099999999998</v>
      </c>
      <c r="G644" s="200">
        <v>1.53</v>
      </c>
      <c r="H644" s="200">
        <v>1.44</v>
      </c>
      <c r="I644" s="200">
        <v>18.3511</v>
      </c>
      <c r="J644" s="309">
        <v>634.43</v>
      </c>
      <c r="K644" s="200">
        <v>18.3511</v>
      </c>
      <c r="L644" s="309">
        <v>634.43</v>
      </c>
      <c r="M644" s="301">
        <f t="shared" si="101"/>
        <v>0.02892533455227527</v>
      </c>
      <c r="N644" s="176">
        <v>207.6</v>
      </c>
      <c r="O644" s="338">
        <f t="shared" si="102"/>
        <v>6.004899453052346</v>
      </c>
      <c r="P644" s="338">
        <f t="shared" si="103"/>
        <v>1735.5200731365162</v>
      </c>
      <c r="Q644" s="177">
        <f t="shared" si="104"/>
        <v>360.29396718314075</v>
      </c>
      <c r="S644" s="88"/>
      <c r="T644" s="88"/>
    </row>
    <row r="645" spans="1:20" ht="12.75">
      <c r="A645" s="920"/>
      <c r="B645" s="34">
        <v>9</v>
      </c>
      <c r="C645" s="33" t="s">
        <v>713</v>
      </c>
      <c r="D645" s="34">
        <v>16</v>
      </c>
      <c r="E645" s="34" t="s">
        <v>67</v>
      </c>
      <c r="F645" s="200">
        <f t="shared" si="100"/>
        <v>22.467999999999996</v>
      </c>
      <c r="G645" s="200">
        <v>1.5694</v>
      </c>
      <c r="H645" s="200">
        <v>0</v>
      </c>
      <c r="I645" s="200">
        <v>20.8986</v>
      </c>
      <c r="J645" s="309">
        <v>696.15</v>
      </c>
      <c r="K645" s="200">
        <v>20.8986</v>
      </c>
      <c r="L645" s="309">
        <v>696.15</v>
      </c>
      <c r="M645" s="301">
        <f t="shared" si="101"/>
        <v>0.03002025425554837</v>
      </c>
      <c r="N645" s="176">
        <v>207.6</v>
      </c>
      <c r="O645" s="338">
        <f t="shared" si="102"/>
        <v>6.2322047834518415</v>
      </c>
      <c r="P645" s="338">
        <f t="shared" si="103"/>
        <v>1801.2152553329022</v>
      </c>
      <c r="Q645" s="177">
        <f t="shared" si="104"/>
        <v>373.9322870071105</v>
      </c>
      <c r="S645" s="88"/>
      <c r="T645" s="88"/>
    </row>
    <row r="646" spans="1:20" ht="13.5" thickBot="1">
      <c r="A646" s="921"/>
      <c r="B646" s="82">
        <v>10</v>
      </c>
      <c r="C646" s="35" t="s">
        <v>377</v>
      </c>
      <c r="D646" s="36">
        <v>12</v>
      </c>
      <c r="E646" s="36" t="s">
        <v>67</v>
      </c>
      <c r="F646" s="396">
        <f t="shared" si="100"/>
        <v>17.2131</v>
      </c>
      <c r="G646" s="374">
        <v>1.3116</v>
      </c>
      <c r="H646" s="374">
        <v>0</v>
      </c>
      <c r="I646" s="374">
        <v>15.9015</v>
      </c>
      <c r="J646" s="311">
        <v>529.6</v>
      </c>
      <c r="K646" s="374">
        <v>15.9015</v>
      </c>
      <c r="L646" s="311">
        <v>529.6</v>
      </c>
      <c r="M646" s="301">
        <f t="shared" si="101"/>
        <v>0.03002549093655589</v>
      </c>
      <c r="N646" s="303">
        <v>207.6</v>
      </c>
      <c r="O646" s="303">
        <f t="shared" si="102"/>
        <v>6.2332919184290025</v>
      </c>
      <c r="P646" s="310">
        <f t="shared" si="103"/>
        <v>1801.5294561933533</v>
      </c>
      <c r="Q646" s="179">
        <f t="shared" si="104"/>
        <v>373.99751510574015</v>
      </c>
      <c r="S646" s="88"/>
      <c r="T646" s="88"/>
    </row>
    <row r="647" spans="1:20" ht="12.75">
      <c r="A647" s="1035" t="s">
        <v>12</v>
      </c>
      <c r="B647" s="39">
        <v>1</v>
      </c>
      <c r="C647" s="47" t="s">
        <v>458</v>
      </c>
      <c r="D647" s="39">
        <v>5</v>
      </c>
      <c r="E647" s="39" t="s">
        <v>67</v>
      </c>
      <c r="F647" s="393">
        <f t="shared" si="100"/>
        <v>9.802</v>
      </c>
      <c r="G647" s="379">
        <v>0.2634</v>
      </c>
      <c r="H647" s="379">
        <v>0.8</v>
      </c>
      <c r="I647" s="379">
        <v>8.7386</v>
      </c>
      <c r="J647" s="398">
        <v>287.6</v>
      </c>
      <c r="K647" s="379">
        <v>8.7386</v>
      </c>
      <c r="L647" s="398">
        <v>287.6</v>
      </c>
      <c r="M647" s="305">
        <f t="shared" si="101"/>
        <v>0.03038456189151599</v>
      </c>
      <c r="N647" s="190">
        <v>207.6</v>
      </c>
      <c r="O647" s="493">
        <f t="shared" si="102"/>
        <v>6.30783504867872</v>
      </c>
      <c r="P647" s="334">
        <f t="shared" si="103"/>
        <v>1823.0737134909593</v>
      </c>
      <c r="Q647" s="348">
        <f t="shared" si="104"/>
        <v>378.47010292072315</v>
      </c>
      <c r="S647" s="88"/>
      <c r="T647" s="88"/>
    </row>
    <row r="648" spans="1:20" ht="12.75">
      <c r="A648" s="1036"/>
      <c r="B648" s="41">
        <v>2</v>
      </c>
      <c r="C648" s="48" t="s">
        <v>265</v>
      </c>
      <c r="D648" s="41">
        <v>6</v>
      </c>
      <c r="E648" s="41" t="s">
        <v>67</v>
      </c>
      <c r="F648" s="201">
        <f t="shared" si="100"/>
        <v>12.23</v>
      </c>
      <c r="G648" s="201">
        <v>0.9192</v>
      </c>
      <c r="H648" s="201">
        <v>0.96</v>
      </c>
      <c r="I648" s="201">
        <v>10.3508</v>
      </c>
      <c r="J648" s="376">
        <v>337.61</v>
      </c>
      <c r="K648" s="201">
        <v>10.3508</v>
      </c>
      <c r="L648" s="376">
        <v>337.61</v>
      </c>
      <c r="M648" s="286">
        <f t="shared" si="101"/>
        <v>0.03065904445958354</v>
      </c>
      <c r="N648" s="178">
        <v>207.6</v>
      </c>
      <c r="O648" s="349">
        <f t="shared" si="102"/>
        <v>6.364817629809543</v>
      </c>
      <c r="P648" s="349">
        <f t="shared" si="103"/>
        <v>1839.5426675750125</v>
      </c>
      <c r="Q648" s="265">
        <f t="shared" si="104"/>
        <v>381.8890577885726</v>
      </c>
      <c r="S648" s="88"/>
      <c r="T648" s="88"/>
    </row>
    <row r="649" spans="1:20" ht="12.75">
      <c r="A649" s="1036"/>
      <c r="B649" s="41">
        <v>3</v>
      </c>
      <c r="C649" s="48" t="s">
        <v>262</v>
      </c>
      <c r="D649" s="41">
        <v>9</v>
      </c>
      <c r="E649" s="41" t="s">
        <v>67</v>
      </c>
      <c r="F649" s="605">
        <f t="shared" si="100"/>
        <v>22.616</v>
      </c>
      <c r="G649" s="201">
        <v>1.6815</v>
      </c>
      <c r="H649" s="201">
        <v>1.44</v>
      </c>
      <c r="I649" s="201">
        <v>19.4945</v>
      </c>
      <c r="J649" s="376">
        <v>635.51</v>
      </c>
      <c r="K649" s="201">
        <v>19.4945</v>
      </c>
      <c r="L649" s="376">
        <v>635.51</v>
      </c>
      <c r="M649" s="286">
        <f t="shared" si="101"/>
        <v>0.0306753630942078</v>
      </c>
      <c r="N649" s="178">
        <v>207.6</v>
      </c>
      <c r="O649" s="350">
        <f t="shared" si="102"/>
        <v>6.368205378357539</v>
      </c>
      <c r="P649" s="350">
        <f t="shared" si="103"/>
        <v>1840.521785652468</v>
      </c>
      <c r="Q649" s="351">
        <f t="shared" si="104"/>
        <v>382.0923227014523</v>
      </c>
      <c r="S649" s="88"/>
      <c r="T649" s="88"/>
    </row>
    <row r="650" spans="1:20" ht="12.75">
      <c r="A650" s="1036"/>
      <c r="B650" s="41">
        <v>4</v>
      </c>
      <c r="C650" s="48" t="s">
        <v>714</v>
      </c>
      <c r="D650" s="41">
        <v>48</v>
      </c>
      <c r="E650" s="41" t="s">
        <v>67</v>
      </c>
      <c r="F650" s="201">
        <f t="shared" si="100"/>
        <v>25.642</v>
      </c>
      <c r="G650" s="201">
        <v>0</v>
      </c>
      <c r="H650" s="201">
        <v>0</v>
      </c>
      <c r="I650" s="201">
        <v>25.642</v>
      </c>
      <c r="J650" s="376">
        <v>825.18</v>
      </c>
      <c r="K650" s="201">
        <v>25.642</v>
      </c>
      <c r="L650" s="376">
        <v>825.18</v>
      </c>
      <c r="M650" s="286">
        <f t="shared" si="101"/>
        <v>0.031074432245085923</v>
      </c>
      <c r="N650" s="178">
        <v>207.8</v>
      </c>
      <c r="O650" s="349">
        <f t="shared" si="102"/>
        <v>6.457267020528855</v>
      </c>
      <c r="P650" s="349">
        <f t="shared" si="103"/>
        <v>1864.4659347051554</v>
      </c>
      <c r="Q650" s="265">
        <f t="shared" si="104"/>
        <v>387.4360212317313</v>
      </c>
      <c r="S650" s="88"/>
      <c r="T650" s="88"/>
    </row>
    <row r="651" spans="1:20" ht="12.75">
      <c r="A651" s="1036"/>
      <c r="B651" s="41">
        <v>5</v>
      </c>
      <c r="C651" s="48" t="s">
        <v>263</v>
      </c>
      <c r="D651" s="41">
        <v>5</v>
      </c>
      <c r="E651" s="41" t="s">
        <v>67</v>
      </c>
      <c r="F651" s="605">
        <f t="shared" si="100"/>
        <v>10.523</v>
      </c>
      <c r="G651" s="201">
        <v>0.5045</v>
      </c>
      <c r="H651" s="201">
        <v>0.8</v>
      </c>
      <c r="I651" s="201">
        <v>9.2185</v>
      </c>
      <c r="J651" s="376">
        <v>285.14</v>
      </c>
      <c r="K651" s="201">
        <v>9.2185</v>
      </c>
      <c r="L651" s="376">
        <v>285.14</v>
      </c>
      <c r="M651" s="286">
        <f t="shared" si="101"/>
        <v>0.032329732762853336</v>
      </c>
      <c r="N651" s="178">
        <v>207.6</v>
      </c>
      <c r="O651" s="350">
        <f t="shared" si="102"/>
        <v>6.711652521568352</v>
      </c>
      <c r="P651" s="350">
        <f t="shared" si="103"/>
        <v>1939.7839657712004</v>
      </c>
      <c r="Q651" s="351">
        <f t="shared" si="104"/>
        <v>402.6991512941011</v>
      </c>
      <c r="S651" s="88"/>
      <c r="T651" s="88"/>
    </row>
    <row r="652" spans="1:20" ht="12.75">
      <c r="A652" s="1036"/>
      <c r="B652" s="41">
        <v>6</v>
      </c>
      <c r="C652" s="48" t="s">
        <v>375</v>
      </c>
      <c r="D652" s="41">
        <v>4</v>
      </c>
      <c r="E652" s="41" t="s">
        <v>67</v>
      </c>
      <c r="F652" s="201">
        <f t="shared" si="100"/>
        <v>6.1770000000000005</v>
      </c>
      <c r="G652" s="201">
        <v>0.2242</v>
      </c>
      <c r="H652" s="201">
        <v>0.64</v>
      </c>
      <c r="I652" s="201">
        <v>5.3128</v>
      </c>
      <c r="J652" s="376">
        <v>156.81</v>
      </c>
      <c r="K652" s="201">
        <v>5.3128</v>
      </c>
      <c r="L652" s="376">
        <v>156.81</v>
      </c>
      <c r="M652" s="286">
        <f t="shared" si="101"/>
        <v>0.0338804923155411</v>
      </c>
      <c r="N652" s="178">
        <v>207.6</v>
      </c>
      <c r="O652" s="349">
        <f t="shared" si="102"/>
        <v>7.033590204706332</v>
      </c>
      <c r="P652" s="349">
        <f t="shared" si="103"/>
        <v>2032.8295389324658</v>
      </c>
      <c r="Q652" s="265">
        <f t="shared" si="104"/>
        <v>422.01541228237994</v>
      </c>
      <c r="S652" s="88"/>
      <c r="T652" s="88"/>
    </row>
    <row r="653" spans="1:20" ht="12.75">
      <c r="A653" s="1036"/>
      <c r="B653" s="41">
        <v>7</v>
      </c>
      <c r="C653" s="48" t="s">
        <v>378</v>
      </c>
      <c r="D653" s="41">
        <v>7</v>
      </c>
      <c r="E653" s="41" t="s">
        <v>67</v>
      </c>
      <c r="F653" s="605">
        <f t="shared" si="100"/>
        <v>13.024000000000001</v>
      </c>
      <c r="G653" s="201">
        <v>0.2242</v>
      </c>
      <c r="H653" s="201">
        <v>1.12</v>
      </c>
      <c r="I653" s="201">
        <v>11.6798</v>
      </c>
      <c r="J653" s="376">
        <v>337.32</v>
      </c>
      <c r="K653" s="201">
        <v>11.6798</v>
      </c>
      <c r="L653" s="376">
        <v>337.32</v>
      </c>
      <c r="M653" s="286">
        <f t="shared" si="101"/>
        <v>0.034625281631685045</v>
      </c>
      <c r="N653" s="178">
        <v>207.6</v>
      </c>
      <c r="O653" s="349">
        <f t="shared" si="102"/>
        <v>7.188208466737815</v>
      </c>
      <c r="P653" s="350">
        <f t="shared" si="103"/>
        <v>2077.5168979011028</v>
      </c>
      <c r="Q653" s="351">
        <f t="shared" si="104"/>
        <v>431.2925080042689</v>
      </c>
      <c r="S653" s="88"/>
      <c r="T653" s="88"/>
    </row>
    <row r="654" spans="1:20" ht="12.75">
      <c r="A654" s="1036"/>
      <c r="B654" s="41">
        <v>8</v>
      </c>
      <c r="C654" s="48" t="s">
        <v>715</v>
      </c>
      <c r="D654" s="41">
        <v>4</v>
      </c>
      <c r="E654" s="41" t="s">
        <v>67</v>
      </c>
      <c r="F654" s="385">
        <f t="shared" si="100"/>
        <v>4.5981</v>
      </c>
      <c r="G654" s="201">
        <v>0.1682</v>
      </c>
      <c r="H654" s="201">
        <v>0.48</v>
      </c>
      <c r="I654" s="201">
        <v>3.9499</v>
      </c>
      <c r="J654" s="376">
        <v>113.39</v>
      </c>
      <c r="K654" s="201">
        <v>3.9499</v>
      </c>
      <c r="L654" s="376">
        <v>113.39</v>
      </c>
      <c r="M654" s="286">
        <f t="shared" si="101"/>
        <v>0.03483464150277802</v>
      </c>
      <c r="N654" s="178">
        <v>207.6</v>
      </c>
      <c r="O654" s="349">
        <f t="shared" si="102"/>
        <v>7.2316715759767165</v>
      </c>
      <c r="P654" s="349">
        <f t="shared" si="103"/>
        <v>2090.078490166681</v>
      </c>
      <c r="Q654" s="265">
        <f t="shared" si="104"/>
        <v>433.900294558603</v>
      </c>
      <c r="S654" s="88"/>
      <c r="T654" s="88"/>
    </row>
    <row r="655" spans="1:20" ht="12.75">
      <c r="A655" s="1036"/>
      <c r="B655" s="41">
        <v>9</v>
      </c>
      <c r="C655" s="48" t="s">
        <v>376</v>
      </c>
      <c r="D655" s="41">
        <v>5</v>
      </c>
      <c r="E655" s="41" t="s">
        <v>67</v>
      </c>
      <c r="F655" s="201">
        <f t="shared" si="100"/>
        <v>7.298</v>
      </c>
      <c r="G655" s="201">
        <v>0.2803</v>
      </c>
      <c r="H655" s="201">
        <v>0</v>
      </c>
      <c r="I655" s="201">
        <v>7.0177</v>
      </c>
      <c r="J655" s="376">
        <v>194.29</v>
      </c>
      <c r="K655" s="201">
        <v>7.0177</v>
      </c>
      <c r="L655" s="376">
        <v>194.29</v>
      </c>
      <c r="M655" s="286">
        <f t="shared" si="101"/>
        <v>0.03611971794739822</v>
      </c>
      <c r="N655" s="178">
        <v>207.6</v>
      </c>
      <c r="O655" s="349">
        <f t="shared" si="102"/>
        <v>7.4984534458798695</v>
      </c>
      <c r="P655" s="349">
        <f t="shared" si="103"/>
        <v>2167.183076843893</v>
      </c>
      <c r="Q655" s="265">
        <f t="shared" si="104"/>
        <v>449.90720675279215</v>
      </c>
      <c r="S655" s="88"/>
      <c r="T655" s="88"/>
    </row>
    <row r="656" spans="1:20" ht="13.5" thickBot="1">
      <c r="A656" s="1037"/>
      <c r="B656" s="45">
        <v>10</v>
      </c>
      <c r="C656" s="51" t="s">
        <v>379</v>
      </c>
      <c r="D656" s="45">
        <v>5</v>
      </c>
      <c r="E656" s="45" t="s">
        <v>67</v>
      </c>
      <c r="F656" s="409">
        <f t="shared" si="100"/>
        <v>8.87</v>
      </c>
      <c r="G656" s="380">
        <v>0.2242</v>
      </c>
      <c r="H656" s="380">
        <v>0.8</v>
      </c>
      <c r="I656" s="380">
        <v>7.8458</v>
      </c>
      <c r="J656" s="384">
        <v>192.6</v>
      </c>
      <c r="K656" s="380">
        <v>7.8458</v>
      </c>
      <c r="L656" s="384">
        <v>192.6</v>
      </c>
      <c r="M656" s="306">
        <f t="shared" si="101"/>
        <v>0.040736240913811006</v>
      </c>
      <c r="N656" s="307">
        <v>207.6</v>
      </c>
      <c r="O656" s="352">
        <f t="shared" si="102"/>
        <v>8.456843613707164</v>
      </c>
      <c r="P656" s="352">
        <f t="shared" si="103"/>
        <v>2444.17445482866</v>
      </c>
      <c r="Q656" s="269">
        <f t="shared" si="104"/>
        <v>507.41061682242986</v>
      </c>
      <c r="S656" s="88"/>
      <c r="T656" s="88"/>
    </row>
    <row r="657" spans="19:20" ht="12.75">
      <c r="S657" s="88"/>
      <c r="T657" s="88"/>
    </row>
    <row r="658" spans="19:20" ht="12.75">
      <c r="S658" s="88"/>
      <c r="T658" s="88"/>
    </row>
    <row r="659" spans="1:20" ht="15">
      <c r="A659" s="1034" t="s">
        <v>982</v>
      </c>
      <c r="B659" s="1034"/>
      <c r="C659" s="1034"/>
      <c r="D659" s="1034"/>
      <c r="E659" s="1034"/>
      <c r="F659" s="1034"/>
      <c r="G659" s="1034"/>
      <c r="H659" s="1034"/>
      <c r="I659" s="1034"/>
      <c r="J659" s="1034"/>
      <c r="K659" s="1034"/>
      <c r="L659" s="1034"/>
      <c r="M659" s="1034"/>
      <c r="N659" s="1034"/>
      <c r="O659" s="1034"/>
      <c r="P659" s="1034"/>
      <c r="Q659" s="1034"/>
      <c r="S659" s="88"/>
      <c r="T659" s="88"/>
    </row>
    <row r="660" spans="1:20" ht="13.5" thickBot="1">
      <c r="A660" s="1033" t="s">
        <v>983</v>
      </c>
      <c r="B660" s="1033"/>
      <c r="C660" s="1033"/>
      <c r="D660" s="1033"/>
      <c r="E660" s="1033"/>
      <c r="F660" s="1033"/>
      <c r="G660" s="1033"/>
      <c r="H660" s="1033"/>
      <c r="I660" s="1033"/>
      <c r="J660" s="1033"/>
      <c r="K660" s="1033"/>
      <c r="L660" s="1033"/>
      <c r="M660" s="1033"/>
      <c r="N660" s="1033"/>
      <c r="O660" s="1033"/>
      <c r="P660" s="1033"/>
      <c r="Q660" s="1033"/>
      <c r="S660" s="88"/>
      <c r="T660" s="88"/>
    </row>
    <row r="661" spans="1:20" ht="12.75">
      <c r="A661" s="1038" t="s">
        <v>1</v>
      </c>
      <c r="B661" s="955" t="s">
        <v>0</v>
      </c>
      <c r="C661" s="1005" t="s">
        <v>2</v>
      </c>
      <c r="D661" s="1005" t="s">
        <v>3</v>
      </c>
      <c r="E661" s="1005" t="s">
        <v>41</v>
      </c>
      <c r="F661" s="1025" t="s">
        <v>14</v>
      </c>
      <c r="G661" s="1025"/>
      <c r="H661" s="1025"/>
      <c r="I661" s="1025"/>
      <c r="J661" s="1005" t="s">
        <v>4</v>
      </c>
      <c r="K661" s="1005" t="s">
        <v>15</v>
      </c>
      <c r="L661" s="1005" t="s">
        <v>5</v>
      </c>
      <c r="M661" s="1005" t="s">
        <v>6</v>
      </c>
      <c r="N661" s="1005" t="s">
        <v>16</v>
      </c>
      <c r="O661" s="1005" t="s">
        <v>17</v>
      </c>
      <c r="P661" s="1026" t="s">
        <v>25</v>
      </c>
      <c r="Q661" s="929" t="s">
        <v>26</v>
      </c>
      <c r="S661" s="88"/>
      <c r="T661" s="88"/>
    </row>
    <row r="662" spans="1:20" ht="33.75">
      <c r="A662" s="1039"/>
      <c r="B662" s="956"/>
      <c r="C662" s="981"/>
      <c r="D662" s="981"/>
      <c r="E662" s="981"/>
      <c r="F662" s="37" t="s">
        <v>18</v>
      </c>
      <c r="G662" s="37" t="s">
        <v>19</v>
      </c>
      <c r="H662" s="37" t="s">
        <v>32</v>
      </c>
      <c r="I662" s="37" t="s">
        <v>21</v>
      </c>
      <c r="J662" s="981"/>
      <c r="K662" s="981"/>
      <c r="L662" s="981"/>
      <c r="M662" s="981"/>
      <c r="N662" s="981"/>
      <c r="O662" s="981"/>
      <c r="P662" s="1027"/>
      <c r="Q662" s="930"/>
      <c r="S662" s="88"/>
      <c r="T662" s="88"/>
    </row>
    <row r="663" spans="1:20" ht="13.5" thickBot="1">
      <c r="A663" s="1040"/>
      <c r="B663" s="956"/>
      <c r="C663" s="991"/>
      <c r="D663" s="58" t="s">
        <v>7</v>
      </c>
      <c r="E663" s="58" t="s">
        <v>8</v>
      </c>
      <c r="F663" s="58" t="s">
        <v>9</v>
      </c>
      <c r="G663" s="58" t="s">
        <v>9</v>
      </c>
      <c r="H663" s="58" t="s">
        <v>9</v>
      </c>
      <c r="I663" s="58" t="s">
        <v>9</v>
      </c>
      <c r="J663" s="58" t="s">
        <v>22</v>
      </c>
      <c r="K663" s="58" t="s">
        <v>9</v>
      </c>
      <c r="L663" s="58" t="s">
        <v>22</v>
      </c>
      <c r="M663" s="58" t="s">
        <v>23</v>
      </c>
      <c r="N663" s="58" t="s">
        <v>10</v>
      </c>
      <c r="O663" s="58" t="s">
        <v>24</v>
      </c>
      <c r="P663" s="65" t="s">
        <v>27</v>
      </c>
      <c r="Q663" s="60" t="s">
        <v>28</v>
      </c>
      <c r="S663" s="88"/>
      <c r="T663" s="88"/>
    </row>
    <row r="664" spans="1:20" ht="12.75">
      <c r="A664" s="1028" t="s">
        <v>11</v>
      </c>
      <c r="B664" s="29">
        <v>1</v>
      </c>
      <c r="C664" s="202" t="s">
        <v>984</v>
      </c>
      <c r="D664" s="159">
        <v>15</v>
      </c>
      <c r="E664" s="159"/>
      <c r="F664" s="253">
        <v>11.036</v>
      </c>
      <c r="G664" s="253">
        <v>1.53</v>
      </c>
      <c r="H664" s="253">
        <v>1.2</v>
      </c>
      <c r="I664" s="253">
        <v>8.3</v>
      </c>
      <c r="J664" s="454"/>
      <c r="K664" s="253">
        <f>I664</f>
        <v>8.3</v>
      </c>
      <c r="L664" s="270">
        <v>1104</v>
      </c>
      <c r="M664" s="173">
        <f>K664/L664</f>
        <v>0.007518115942028986</v>
      </c>
      <c r="N664" s="160">
        <v>182.24</v>
      </c>
      <c r="O664" s="1091">
        <f>M664*N664</f>
        <v>1.3701014492753625</v>
      </c>
      <c r="P664" s="1091">
        <f>M664*60*1000</f>
        <v>451.0869565217391</v>
      </c>
      <c r="Q664" s="1092">
        <f>P664*N664/1000</f>
        <v>82.20608695652174</v>
      </c>
      <c r="S664" s="88"/>
      <c r="T664" s="88"/>
    </row>
    <row r="665" spans="1:20" ht="12.75">
      <c r="A665" s="1029"/>
      <c r="B665" s="30">
        <v>2</v>
      </c>
      <c r="C665" s="158" t="s">
        <v>985</v>
      </c>
      <c r="D665" s="132">
        <v>60</v>
      </c>
      <c r="E665" s="132"/>
      <c r="F665" s="248">
        <v>51.29</v>
      </c>
      <c r="G665" s="248">
        <v>4.99</v>
      </c>
      <c r="H665" s="248">
        <v>9.6</v>
      </c>
      <c r="I665" s="248">
        <v>35.8</v>
      </c>
      <c r="J665" s="204"/>
      <c r="K665" s="253">
        <f>I665</f>
        <v>35.8</v>
      </c>
      <c r="L665" s="271">
        <v>2723</v>
      </c>
      <c r="M665" s="141">
        <f>K665/L665</f>
        <v>0.013147264047006977</v>
      </c>
      <c r="N665" s="160">
        <v>182.24</v>
      </c>
      <c r="O665" s="1093">
        <f>M665*N665</f>
        <v>2.3959573999265515</v>
      </c>
      <c r="P665" s="1091">
        <f>M665*60*1000</f>
        <v>788.8358428204186</v>
      </c>
      <c r="Q665" s="1094">
        <f>P665*N665/1000</f>
        <v>143.7574439955931</v>
      </c>
      <c r="S665" s="88"/>
      <c r="T665" s="88"/>
    </row>
    <row r="666" spans="1:20" ht="12.75">
      <c r="A666" s="1029"/>
      <c r="B666" s="30">
        <v>3</v>
      </c>
      <c r="C666" s="158" t="s">
        <v>986</v>
      </c>
      <c r="D666" s="132">
        <v>48</v>
      </c>
      <c r="E666" s="132"/>
      <c r="F666" s="248">
        <v>43</v>
      </c>
      <c r="G666" s="248">
        <v>4.5</v>
      </c>
      <c r="H666" s="248">
        <v>7.68</v>
      </c>
      <c r="I666" s="248">
        <v>30.7</v>
      </c>
      <c r="J666" s="204"/>
      <c r="K666" s="253">
        <f>I666</f>
        <v>30.7</v>
      </c>
      <c r="L666" s="271">
        <v>2296</v>
      </c>
      <c r="M666" s="141">
        <f>K666/L666</f>
        <v>0.013371080139372823</v>
      </c>
      <c r="N666" s="160">
        <v>182.24</v>
      </c>
      <c r="O666" s="1093">
        <f>M666*N666</f>
        <v>2.4367456445993034</v>
      </c>
      <c r="P666" s="1091">
        <f>M666*60*1000</f>
        <v>802.2648083623693</v>
      </c>
      <c r="Q666" s="1094">
        <f>P666*N666/1000</f>
        <v>146.2047386759582</v>
      </c>
      <c r="S666" s="88"/>
      <c r="T666" s="88"/>
    </row>
    <row r="667" spans="1:20" ht="12.75">
      <c r="A667" s="1029"/>
      <c r="B667" s="30">
        <v>4</v>
      </c>
      <c r="C667" s="158" t="s">
        <v>150</v>
      </c>
      <c r="D667" s="132">
        <v>48</v>
      </c>
      <c r="E667" s="132"/>
      <c r="F667" s="248">
        <v>43.8</v>
      </c>
      <c r="G667" s="248">
        <v>3.9</v>
      </c>
      <c r="H667" s="248">
        <v>7.68</v>
      </c>
      <c r="I667" s="248">
        <v>32.2</v>
      </c>
      <c r="J667" s="204"/>
      <c r="K667" s="253">
        <f>I667</f>
        <v>32.2</v>
      </c>
      <c r="L667" s="271">
        <v>2296</v>
      </c>
      <c r="M667" s="141">
        <f>K667/L667</f>
        <v>0.014024390243902441</v>
      </c>
      <c r="N667" s="160">
        <v>182.24</v>
      </c>
      <c r="O667" s="1093">
        <f>M667*N667</f>
        <v>2.555804878048781</v>
      </c>
      <c r="P667" s="1091">
        <f>M667*60*1000</f>
        <v>841.4634146341464</v>
      </c>
      <c r="Q667" s="1094">
        <f>P667*N667/1000</f>
        <v>153.34829268292685</v>
      </c>
      <c r="S667" s="88"/>
      <c r="T667" s="88"/>
    </row>
    <row r="668" spans="1:20" ht="12.75">
      <c r="A668" s="1029"/>
      <c r="B668" s="30">
        <v>5</v>
      </c>
      <c r="C668" s="158" t="s">
        <v>987</v>
      </c>
      <c r="D668" s="132">
        <v>48</v>
      </c>
      <c r="E668" s="132"/>
      <c r="F668" s="248">
        <v>46.6</v>
      </c>
      <c r="G668" s="248">
        <v>5.6</v>
      </c>
      <c r="H668" s="248">
        <v>7.68</v>
      </c>
      <c r="I668" s="248">
        <v>33.3</v>
      </c>
      <c r="J668" s="204"/>
      <c r="K668" s="253">
        <f>I668</f>
        <v>33.3</v>
      </c>
      <c r="L668" s="271">
        <v>2297</v>
      </c>
      <c r="M668" s="141">
        <f>K668/L668</f>
        <v>0.014497170222028732</v>
      </c>
      <c r="N668" s="160">
        <v>182.24</v>
      </c>
      <c r="O668" s="1093">
        <f>M668*N668</f>
        <v>2.6419643012625165</v>
      </c>
      <c r="P668" s="1091">
        <f>M668*60*1000</f>
        <v>869.8302133217239</v>
      </c>
      <c r="Q668" s="1094">
        <f>P668*N668/1000</f>
        <v>158.51785807575098</v>
      </c>
      <c r="S668" s="88"/>
      <c r="T668" s="88"/>
    </row>
    <row r="669" spans="1:20" ht="12.75">
      <c r="A669" s="1029"/>
      <c r="B669" s="30">
        <v>6</v>
      </c>
      <c r="C669" s="16"/>
      <c r="D669" s="30"/>
      <c r="E669" s="30"/>
      <c r="F669" s="130"/>
      <c r="G669" s="130"/>
      <c r="H669" s="130"/>
      <c r="I669" s="130"/>
      <c r="J669" s="187"/>
      <c r="K669" s="130"/>
      <c r="L669" s="187"/>
      <c r="M669" s="295"/>
      <c r="N669" s="126"/>
      <c r="O669" s="279"/>
      <c r="P669" s="279"/>
      <c r="Q669" s="296"/>
      <c r="S669" s="88"/>
      <c r="T669" s="88"/>
    </row>
    <row r="670" spans="1:20" ht="12.75">
      <c r="A670" s="1029"/>
      <c r="B670" s="30">
        <v>7</v>
      </c>
      <c r="C670" s="16"/>
      <c r="D670" s="30"/>
      <c r="E670" s="30"/>
      <c r="F670" s="130"/>
      <c r="G670" s="130"/>
      <c r="H670" s="130"/>
      <c r="I670" s="130"/>
      <c r="J670" s="187"/>
      <c r="K670" s="130"/>
      <c r="L670" s="187"/>
      <c r="M670" s="328"/>
      <c r="N670" s="126"/>
      <c r="O670" s="279"/>
      <c r="P670" s="279"/>
      <c r="Q670" s="296"/>
      <c r="S670" s="88"/>
      <c r="T670" s="88"/>
    </row>
    <row r="671" spans="1:20" ht="12.75">
      <c r="A671" s="1029"/>
      <c r="B671" s="30">
        <v>8</v>
      </c>
      <c r="C671" s="62"/>
      <c r="D671" s="61"/>
      <c r="E671" s="61"/>
      <c r="F671" s="130"/>
      <c r="G671" s="199"/>
      <c r="H671" s="199"/>
      <c r="I671" s="199"/>
      <c r="J671" s="458"/>
      <c r="K671" s="199"/>
      <c r="L671" s="458"/>
      <c r="M671" s="328"/>
      <c r="N671" s="198"/>
      <c r="O671" s="279"/>
      <c r="P671" s="279"/>
      <c r="Q671" s="296"/>
      <c r="S671" s="88"/>
      <c r="T671" s="88"/>
    </row>
    <row r="672" spans="1:20" ht="12.75">
      <c r="A672" s="1029"/>
      <c r="B672" s="30">
        <v>9</v>
      </c>
      <c r="C672" s="16"/>
      <c r="D672" s="30"/>
      <c r="E672" s="30"/>
      <c r="F672" s="130"/>
      <c r="G672" s="130"/>
      <c r="H672" s="130"/>
      <c r="I672" s="130"/>
      <c r="J672" s="187"/>
      <c r="K672" s="130"/>
      <c r="L672" s="187"/>
      <c r="M672" s="328"/>
      <c r="N672" s="126"/>
      <c r="O672" s="279"/>
      <c r="P672" s="279"/>
      <c r="Q672" s="296"/>
      <c r="S672" s="88"/>
      <c r="T672" s="88"/>
    </row>
    <row r="673" spans="1:20" ht="13.5" thickBot="1">
      <c r="A673" s="1030"/>
      <c r="B673" s="103">
        <v>10</v>
      </c>
      <c r="C673" s="64"/>
      <c r="D673" s="63"/>
      <c r="E673" s="63"/>
      <c r="F673" s="235"/>
      <c r="G673" s="235"/>
      <c r="H673" s="235"/>
      <c r="I673" s="235"/>
      <c r="J673" s="364"/>
      <c r="K673" s="235"/>
      <c r="L673" s="364"/>
      <c r="M673" s="297"/>
      <c r="N673" s="127"/>
      <c r="O673" s="329"/>
      <c r="P673" s="329"/>
      <c r="Q673" s="128"/>
      <c r="S673" s="88"/>
      <c r="T673" s="88"/>
    </row>
    <row r="674" spans="1:20" ht="12.75">
      <c r="A674" s="1019" t="s">
        <v>29</v>
      </c>
      <c r="B674" s="752">
        <v>1</v>
      </c>
      <c r="C674" s="1095" t="s">
        <v>126</v>
      </c>
      <c r="D674" s="792">
        <v>64</v>
      </c>
      <c r="E674" s="792"/>
      <c r="F674" s="744">
        <v>59</v>
      </c>
      <c r="G674" s="744">
        <v>3.57</v>
      </c>
      <c r="H674" s="744">
        <v>10.24</v>
      </c>
      <c r="I674" s="744">
        <v>44.7</v>
      </c>
      <c r="J674" s="1096"/>
      <c r="K674" s="744">
        <f>I674</f>
        <v>44.7</v>
      </c>
      <c r="L674" s="793">
        <v>2955</v>
      </c>
      <c r="M674" s="714">
        <f>K674/L674</f>
        <v>0.015126903553299494</v>
      </c>
      <c r="N674" s="715">
        <v>182.24</v>
      </c>
      <c r="O674" s="716">
        <f>M674*N674</f>
        <v>2.7567269035532997</v>
      </c>
      <c r="P674" s="716">
        <f>M674*60*1000</f>
        <v>907.6142131979697</v>
      </c>
      <c r="Q674" s="717">
        <f>P674*N674/1000</f>
        <v>165.40361421319798</v>
      </c>
      <c r="S674" s="88"/>
      <c r="T674" s="88"/>
    </row>
    <row r="675" spans="1:20" ht="12.75">
      <c r="A675" s="1020"/>
      <c r="B675" s="725">
        <v>2</v>
      </c>
      <c r="C675" s="709" t="s">
        <v>988</v>
      </c>
      <c r="D675" s="710">
        <v>48</v>
      </c>
      <c r="E675" s="710"/>
      <c r="F675" s="711">
        <v>48.5</v>
      </c>
      <c r="G675" s="711">
        <v>5.97</v>
      </c>
      <c r="H675" s="711">
        <v>7.68</v>
      </c>
      <c r="I675" s="711">
        <v>36.1</v>
      </c>
      <c r="J675" s="754"/>
      <c r="K675" s="711">
        <f>I675</f>
        <v>36.1</v>
      </c>
      <c r="L675" s="719">
        <v>2296</v>
      </c>
      <c r="M675" s="714">
        <f>K675/L675</f>
        <v>0.015722996515679443</v>
      </c>
      <c r="N675" s="715">
        <v>182.24</v>
      </c>
      <c r="O675" s="716">
        <f>M675*N675</f>
        <v>2.8653588850174216</v>
      </c>
      <c r="P675" s="716">
        <f>M675*60*1000</f>
        <v>943.3797909407666</v>
      </c>
      <c r="Q675" s="717">
        <f>P675*N675/1000</f>
        <v>171.92153310104533</v>
      </c>
      <c r="S675" s="88"/>
      <c r="T675" s="88"/>
    </row>
    <row r="676" spans="1:20" ht="12.75">
      <c r="A676" s="1020"/>
      <c r="B676" s="755">
        <v>3</v>
      </c>
      <c r="C676" s="709" t="s">
        <v>989</v>
      </c>
      <c r="D676" s="710">
        <v>48</v>
      </c>
      <c r="E676" s="710"/>
      <c r="F676" s="711">
        <v>49.5</v>
      </c>
      <c r="G676" s="711">
        <v>4.4</v>
      </c>
      <c r="H676" s="711">
        <v>7.68</v>
      </c>
      <c r="I676" s="711">
        <v>37.38</v>
      </c>
      <c r="J676" s="754"/>
      <c r="K676" s="711">
        <f>I676</f>
        <v>37.38</v>
      </c>
      <c r="L676" s="719">
        <v>2296</v>
      </c>
      <c r="M676" s="721">
        <f>K676/L676</f>
        <v>0.01628048780487805</v>
      </c>
      <c r="N676" s="715">
        <v>182.24</v>
      </c>
      <c r="O676" s="716">
        <f>M676*N676</f>
        <v>2.966956097560976</v>
      </c>
      <c r="P676" s="716">
        <f>M676*60*1000</f>
        <v>976.8292682926829</v>
      </c>
      <c r="Q676" s="722">
        <f>P676*N676/1000</f>
        <v>178.01736585365853</v>
      </c>
      <c r="S676" s="88"/>
      <c r="T676" s="88"/>
    </row>
    <row r="677" spans="1:20" ht="12.75">
      <c r="A677" s="1020"/>
      <c r="B677" s="725">
        <v>4</v>
      </c>
      <c r="C677" s="709" t="s">
        <v>990</v>
      </c>
      <c r="D677" s="710">
        <v>72</v>
      </c>
      <c r="E677" s="710"/>
      <c r="F677" s="711">
        <v>79.2</v>
      </c>
      <c r="G677" s="711">
        <v>6.3</v>
      </c>
      <c r="H677" s="711">
        <v>11.52</v>
      </c>
      <c r="I677" s="711">
        <v>61.3</v>
      </c>
      <c r="J677" s="754"/>
      <c r="K677" s="711">
        <f>I677</f>
        <v>61.3</v>
      </c>
      <c r="L677" s="719">
        <v>3727</v>
      </c>
      <c r="M677" s="721">
        <f>K677/L677</f>
        <v>0.01644754494231285</v>
      </c>
      <c r="N677" s="715">
        <v>182.24</v>
      </c>
      <c r="O677" s="723">
        <f>M677*N677</f>
        <v>2.997400590287094</v>
      </c>
      <c r="P677" s="716">
        <f>M677*60*1000</f>
        <v>986.852696538771</v>
      </c>
      <c r="Q677" s="722">
        <f>P677*N677/1000</f>
        <v>179.84403541722565</v>
      </c>
      <c r="S677" s="88"/>
      <c r="T677" s="88"/>
    </row>
    <row r="678" spans="1:20" ht="12.75">
      <c r="A678" s="1020"/>
      <c r="B678" s="725">
        <v>5</v>
      </c>
      <c r="C678" s="709" t="s">
        <v>991</v>
      </c>
      <c r="D678" s="710">
        <v>64</v>
      </c>
      <c r="E678" s="710"/>
      <c r="F678" s="711">
        <v>65.7</v>
      </c>
      <c r="G678" s="711">
        <v>4.96</v>
      </c>
      <c r="H678" s="711">
        <v>10.24</v>
      </c>
      <c r="I678" s="711">
        <v>50</v>
      </c>
      <c r="J678" s="754"/>
      <c r="K678" s="711">
        <f>I678</f>
        <v>50</v>
      </c>
      <c r="L678" s="719">
        <v>2955</v>
      </c>
      <c r="M678" s="721">
        <f>K678/L678</f>
        <v>0.01692047377326565</v>
      </c>
      <c r="N678" s="715">
        <v>182.24</v>
      </c>
      <c r="O678" s="723">
        <f>M678*N678</f>
        <v>3.0835871404399327</v>
      </c>
      <c r="P678" s="716">
        <f>M678*60*1000</f>
        <v>1015.228426395939</v>
      </c>
      <c r="Q678" s="722">
        <f>P678*N678/1000</f>
        <v>185.0152284263959</v>
      </c>
      <c r="S678" s="88"/>
      <c r="T678" s="88"/>
    </row>
    <row r="679" spans="1:20" ht="12.75">
      <c r="A679" s="1020"/>
      <c r="B679" s="725">
        <v>6</v>
      </c>
      <c r="C679" s="709" t="s">
        <v>992</v>
      </c>
      <c r="D679" s="710">
        <v>60</v>
      </c>
      <c r="E679" s="710"/>
      <c r="F679" s="711">
        <v>68.4</v>
      </c>
      <c r="G679" s="711">
        <v>5.5</v>
      </c>
      <c r="H679" s="711">
        <v>9.6</v>
      </c>
      <c r="I679" s="711">
        <v>53.2</v>
      </c>
      <c r="J679" s="754"/>
      <c r="K679" s="711">
        <f>I679</f>
        <v>53.2</v>
      </c>
      <c r="L679" s="719">
        <v>3134</v>
      </c>
      <c r="M679" s="721">
        <f>K679/L679</f>
        <v>0.016975111678366305</v>
      </c>
      <c r="N679" s="715">
        <v>182.24</v>
      </c>
      <c r="O679" s="723">
        <f>M679*N679</f>
        <v>3.0935443522654755</v>
      </c>
      <c r="P679" s="716">
        <f>M679*60*1000</f>
        <v>1018.5067007019784</v>
      </c>
      <c r="Q679" s="722">
        <f>P679*N679/1000</f>
        <v>185.61266113592856</v>
      </c>
      <c r="S679" s="88"/>
      <c r="T679" s="88"/>
    </row>
    <row r="680" spans="1:20" ht="12.75">
      <c r="A680" s="1020"/>
      <c r="B680" s="725">
        <v>7</v>
      </c>
      <c r="C680" s="709" t="s">
        <v>993</v>
      </c>
      <c r="D680" s="710">
        <v>30</v>
      </c>
      <c r="E680" s="710"/>
      <c r="F680" s="711">
        <v>38.5</v>
      </c>
      <c r="G680" s="711">
        <v>2.4</v>
      </c>
      <c r="H680" s="711">
        <v>4.8</v>
      </c>
      <c r="I680" s="711">
        <v>31.2</v>
      </c>
      <c r="J680" s="754"/>
      <c r="K680" s="711">
        <f>I680</f>
        <v>31.2</v>
      </c>
      <c r="L680" s="719">
        <v>1727</v>
      </c>
      <c r="M680" s="721">
        <f>K680/L680</f>
        <v>0.01806601042269832</v>
      </c>
      <c r="N680" s="715">
        <v>182.24</v>
      </c>
      <c r="O680" s="723">
        <f>M680*N680</f>
        <v>3.292349739432542</v>
      </c>
      <c r="P680" s="716">
        <f>M680*60*1000</f>
        <v>1083.9606253618992</v>
      </c>
      <c r="Q680" s="722">
        <f>P680*N680/1000</f>
        <v>197.5409843659525</v>
      </c>
      <c r="S680" s="88"/>
      <c r="T680" s="88"/>
    </row>
    <row r="681" spans="1:20" ht="12.75">
      <c r="A681" s="1020"/>
      <c r="B681" s="725">
        <v>8</v>
      </c>
      <c r="C681" s="709" t="s">
        <v>994</v>
      </c>
      <c r="D681" s="710">
        <v>60</v>
      </c>
      <c r="E681" s="710"/>
      <c r="F681" s="711">
        <v>74.6</v>
      </c>
      <c r="G681" s="711">
        <v>4.4</v>
      </c>
      <c r="H681" s="711">
        <v>9.6</v>
      </c>
      <c r="I681" s="711">
        <v>60.2</v>
      </c>
      <c r="J681" s="754"/>
      <c r="K681" s="711">
        <f>I681</f>
        <v>60.2</v>
      </c>
      <c r="L681" s="719">
        <v>3132</v>
      </c>
      <c r="M681" s="721">
        <f>K681/L681</f>
        <v>0.01922094508301405</v>
      </c>
      <c r="N681" s="715">
        <v>182.24</v>
      </c>
      <c r="O681" s="723">
        <f>M681*N681</f>
        <v>3.502825031928481</v>
      </c>
      <c r="P681" s="716">
        <f>M681*60*1000</f>
        <v>1153.256704980843</v>
      </c>
      <c r="Q681" s="722">
        <f>P681*N681/1000</f>
        <v>210.16950191570885</v>
      </c>
      <c r="S681" s="88"/>
      <c r="T681" s="88"/>
    </row>
    <row r="682" spans="1:20" ht="12.75">
      <c r="A682" s="1020"/>
      <c r="B682" s="725">
        <v>9</v>
      </c>
      <c r="C682" s="709" t="s">
        <v>995</v>
      </c>
      <c r="D682" s="710">
        <v>60</v>
      </c>
      <c r="E682" s="710"/>
      <c r="F682" s="711">
        <v>80.7</v>
      </c>
      <c r="G682" s="711">
        <v>5.5</v>
      </c>
      <c r="H682" s="711">
        <v>9.6</v>
      </c>
      <c r="I682" s="711">
        <v>65.5</v>
      </c>
      <c r="J682" s="754"/>
      <c r="K682" s="711">
        <f>I682</f>
        <v>65.5</v>
      </c>
      <c r="L682" s="719">
        <v>3251</v>
      </c>
      <c r="M682" s="721">
        <f>K682/L682</f>
        <v>0.02014764687788373</v>
      </c>
      <c r="N682" s="715">
        <v>182.24</v>
      </c>
      <c r="O682" s="723">
        <f>M682*N682</f>
        <v>3.671707167025531</v>
      </c>
      <c r="P682" s="716">
        <f>M682*60*1000</f>
        <v>1208.8588126730237</v>
      </c>
      <c r="Q682" s="722">
        <f>P682*N682/1000</f>
        <v>220.30243002153185</v>
      </c>
      <c r="S682" s="88"/>
      <c r="T682" s="88"/>
    </row>
    <row r="683" spans="1:20" ht="13.5" thickBot="1">
      <c r="A683" s="1021"/>
      <c r="B683" s="725">
        <v>10</v>
      </c>
      <c r="C683" s="745" t="s">
        <v>996</v>
      </c>
      <c r="D683" s="746">
        <v>20</v>
      </c>
      <c r="E683" s="746"/>
      <c r="F683" s="747">
        <v>27.9</v>
      </c>
      <c r="G683" s="747">
        <v>1.4</v>
      </c>
      <c r="H683" s="747">
        <v>3.2</v>
      </c>
      <c r="I683" s="747">
        <v>23.3</v>
      </c>
      <c r="J683" s="762"/>
      <c r="K683" s="711">
        <f>I683</f>
        <v>23.3</v>
      </c>
      <c r="L683" s="748">
        <v>1052</v>
      </c>
      <c r="M683" s="749">
        <f>K683/L683</f>
        <v>0.02214828897338403</v>
      </c>
      <c r="N683" s="757">
        <v>182.24</v>
      </c>
      <c r="O683" s="750">
        <f>M683*N683</f>
        <v>4.0363041825095065</v>
      </c>
      <c r="P683" s="750">
        <f>M683*60*1000</f>
        <v>1328.8973384030419</v>
      </c>
      <c r="Q683" s="751">
        <f>P683*N683/1000</f>
        <v>242.17825095057037</v>
      </c>
      <c r="S683" s="88"/>
      <c r="T683" s="88"/>
    </row>
    <row r="684" spans="1:20" ht="12.75">
      <c r="A684" s="918" t="s">
        <v>30</v>
      </c>
      <c r="B684" s="32">
        <v>1</v>
      </c>
      <c r="C684" s="215" t="s">
        <v>997</v>
      </c>
      <c r="D684" s="217">
        <v>36</v>
      </c>
      <c r="E684" s="217"/>
      <c r="F684" s="313">
        <v>63.36</v>
      </c>
      <c r="G684" s="313">
        <v>3.8</v>
      </c>
      <c r="H684" s="313">
        <v>5.76</v>
      </c>
      <c r="I684" s="313">
        <v>53.7</v>
      </c>
      <c r="J684" s="354"/>
      <c r="K684" s="313">
        <f>I684</f>
        <v>53.7</v>
      </c>
      <c r="L684" s="390">
        <v>2209</v>
      </c>
      <c r="M684" s="209">
        <f>K684/L684</f>
        <v>0.02430964237211408</v>
      </c>
      <c r="N684" s="220">
        <v>182.24</v>
      </c>
      <c r="O684" s="208">
        <f>M684*N684</f>
        <v>4.43018922589407</v>
      </c>
      <c r="P684" s="208">
        <f>M684*60*1000</f>
        <v>1458.5785423268446</v>
      </c>
      <c r="Q684" s="210">
        <f>P684*N684/1000</f>
        <v>265.8113535536442</v>
      </c>
      <c r="S684" s="88"/>
      <c r="T684" s="88"/>
    </row>
    <row r="685" spans="1:20" ht="12.75">
      <c r="A685" s="1022"/>
      <c r="B685" s="75">
        <v>2</v>
      </c>
      <c r="C685" s="205" t="s">
        <v>998</v>
      </c>
      <c r="D685" s="135">
        <v>20</v>
      </c>
      <c r="E685" s="135"/>
      <c r="F685" s="222">
        <v>31.48</v>
      </c>
      <c r="G685" s="222">
        <v>1.78</v>
      </c>
      <c r="H685" s="222">
        <v>3.2</v>
      </c>
      <c r="I685" s="222">
        <v>26.4</v>
      </c>
      <c r="J685" s="206"/>
      <c r="K685" s="222">
        <f>I685</f>
        <v>26.4</v>
      </c>
      <c r="L685" s="277">
        <v>1069</v>
      </c>
      <c r="M685" s="146">
        <f>K685/L685</f>
        <v>0.024695977549111316</v>
      </c>
      <c r="N685" s="220">
        <v>182.24</v>
      </c>
      <c r="O685" s="148">
        <f>M685*N685</f>
        <v>4.500594948550047</v>
      </c>
      <c r="P685" s="208">
        <f>M685*60*1000</f>
        <v>1481.7586529466791</v>
      </c>
      <c r="Q685" s="149">
        <f>P685*N685/1000</f>
        <v>270.0356969130028</v>
      </c>
      <c r="S685" s="88"/>
      <c r="T685" s="88"/>
    </row>
    <row r="686" spans="1:20" ht="12.75">
      <c r="A686" s="1022"/>
      <c r="B686" s="34">
        <v>3</v>
      </c>
      <c r="C686" s="205" t="s">
        <v>112</v>
      </c>
      <c r="D686" s="135">
        <v>20</v>
      </c>
      <c r="E686" s="135"/>
      <c r="F686" s="222">
        <v>32.6</v>
      </c>
      <c r="G686" s="222">
        <v>1.93</v>
      </c>
      <c r="H686" s="222">
        <v>3.2</v>
      </c>
      <c r="I686" s="222">
        <v>27.5</v>
      </c>
      <c r="J686" s="206"/>
      <c r="K686" s="222">
        <f>I686</f>
        <v>27.5</v>
      </c>
      <c r="L686" s="277">
        <v>1039</v>
      </c>
      <c r="M686" s="146">
        <f>K686/L686</f>
        <v>0.026467757459095284</v>
      </c>
      <c r="N686" s="220">
        <v>182.24</v>
      </c>
      <c r="O686" s="148">
        <f>M686*N686</f>
        <v>4.823484119345525</v>
      </c>
      <c r="P686" s="208">
        <f>M686*60*1000</f>
        <v>1588.065447545717</v>
      </c>
      <c r="Q686" s="149">
        <f>P686*N686/1000</f>
        <v>289.40904716073146</v>
      </c>
      <c r="S686" s="88"/>
      <c r="T686" s="88"/>
    </row>
    <row r="687" spans="1:20" ht="12.75">
      <c r="A687" s="919"/>
      <c r="B687" s="34">
        <v>4</v>
      </c>
      <c r="C687" s="205" t="s">
        <v>999</v>
      </c>
      <c r="D687" s="135">
        <v>20</v>
      </c>
      <c r="E687" s="135"/>
      <c r="F687" s="222">
        <v>33.1</v>
      </c>
      <c r="G687" s="222">
        <v>1.58</v>
      </c>
      <c r="H687" s="222">
        <v>3.2</v>
      </c>
      <c r="I687" s="222">
        <v>28.3</v>
      </c>
      <c r="J687" s="206"/>
      <c r="K687" s="222">
        <f>I687</f>
        <v>28.3</v>
      </c>
      <c r="L687" s="277">
        <v>1058</v>
      </c>
      <c r="M687" s="146">
        <f>K687/L687</f>
        <v>0.02674858223062382</v>
      </c>
      <c r="N687" s="220">
        <v>182.24</v>
      </c>
      <c r="O687" s="148">
        <f>M687*N687</f>
        <v>4.874661625708885</v>
      </c>
      <c r="P687" s="208">
        <f>M687*60*1000</f>
        <v>1604.914933837429</v>
      </c>
      <c r="Q687" s="149">
        <f>P687*N687/1000</f>
        <v>292.47969754253313</v>
      </c>
      <c r="S687" s="88"/>
      <c r="T687" s="88"/>
    </row>
    <row r="688" spans="1:20" ht="12.75">
      <c r="A688" s="919"/>
      <c r="B688" s="34">
        <v>5</v>
      </c>
      <c r="C688" s="205" t="s">
        <v>1000</v>
      </c>
      <c r="D688" s="135">
        <v>20</v>
      </c>
      <c r="E688" s="135"/>
      <c r="F688" s="222">
        <v>32.9</v>
      </c>
      <c r="G688" s="222">
        <v>1.1</v>
      </c>
      <c r="H688" s="222">
        <v>3.2</v>
      </c>
      <c r="I688" s="222">
        <v>28.2</v>
      </c>
      <c r="J688" s="206"/>
      <c r="K688" s="222">
        <f>I688</f>
        <v>28.2</v>
      </c>
      <c r="L688" s="277">
        <v>1039</v>
      </c>
      <c r="M688" s="146">
        <f>K688/L688</f>
        <v>0.02714148219441771</v>
      </c>
      <c r="N688" s="220">
        <v>182.24</v>
      </c>
      <c r="O688" s="148">
        <f>M688*N688</f>
        <v>4.946263715110684</v>
      </c>
      <c r="P688" s="208">
        <f>M688*60*1000</f>
        <v>1628.4889316650626</v>
      </c>
      <c r="Q688" s="149">
        <f>P688*N688/1000</f>
        <v>296.77582290664105</v>
      </c>
      <c r="S688" s="88"/>
      <c r="T688" s="88"/>
    </row>
    <row r="689" spans="1:20" ht="12.75">
      <c r="A689" s="919"/>
      <c r="B689" s="34">
        <v>6</v>
      </c>
      <c r="C689" s="205" t="s">
        <v>1001</v>
      </c>
      <c r="D689" s="135">
        <v>36</v>
      </c>
      <c r="E689" s="135"/>
      <c r="F689" s="222">
        <v>65.99</v>
      </c>
      <c r="G689" s="222">
        <v>3.7</v>
      </c>
      <c r="H689" s="222">
        <v>5.76</v>
      </c>
      <c r="I689" s="222">
        <v>56.5</v>
      </c>
      <c r="J689" s="206"/>
      <c r="K689" s="222">
        <f>I689</f>
        <v>56.5</v>
      </c>
      <c r="L689" s="277">
        <v>2073</v>
      </c>
      <c r="M689" s="146">
        <f>K689/L689</f>
        <v>0.02725518572117704</v>
      </c>
      <c r="N689" s="220">
        <v>182.24</v>
      </c>
      <c r="O689" s="148">
        <f>M689*N689</f>
        <v>4.966985045827304</v>
      </c>
      <c r="P689" s="208">
        <f>M689*60*1000</f>
        <v>1635.3111432706223</v>
      </c>
      <c r="Q689" s="149">
        <f>P689*N689/1000</f>
        <v>298.0191027496382</v>
      </c>
      <c r="S689" s="88"/>
      <c r="T689" s="88"/>
    </row>
    <row r="690" spans="1:20" ht="12.75">
      <c r="A690" s="919"/>
      <c r="B690" s="34">
        <v>7</v>
      </c>
      <c r="C690" s="205" t="s">
        <v>1002</v>
      </c>
      <c r="D690" s="135">
        <v>20</v>
      </c>
      <c r="E690" s="135"/>
      <c r="F690" s="222">
        <v>33.4</v>
      </c>
      <c r="G690" s="222">
        <v>1.7</v>
      </c>
      <c r="H690" s="222">
        <v>3.2</v>
      </c>
      <c r="I690" s="222">
        <v>28.5</v>
      </c>
      <c r="J690" s="206"/>
      <c r="K690" s="222">
        <f>I690</f>
        <v>28.5</v>
      </c>
      <c r="L690" s="277">
        <v>1034</v>
      </c>
      <c r="M690" s="146">
        <f>K690/L690</f>
        <v>0.02756286266924565</v>
      </c>
      <c r="N690" s="220">
        <v>182.24</v>
      </c>
      <c r="O690" s="148">
        <f>M690*N690</f>
        <v>5.023056092843327</v>
      </c>
      <c r="P690" s="208">
        <f>M690*60*1000</f>
        <v>1653.771760154739</v>
      </c>
      <c r="Q690" s="149">
        <f>P690*N690/1000</f>
        <v>301.38336557059966</v>
      </c>
      <c r="S690" s="88"/>
      <c r="T690" s="88"/>
    </row>
    <row r="691" spans="1:20" ht="12.75">
      <c r="A691" s="919"/>
      <c r="B691" s="34">
        <v>8</v>
      </c>
      <c r="C691" s="205" t="s">
        <v>1003</v>
      </c>
      <c r="D691" s="135">
        <v>20</v>
      </c>
      <c r="E691" s="135"/>
      <c r="F691" s="222">
        <v>33.89</v>
      </c>
      <c r="G691" s="222">
        <v>1.98</v>
      </c>
      <c r="H691" s="222">
        <v>3.2</v>
      </c>
      <c r="I691" s="222">
        <v>28.7</v>
      </c>
      <c r="J691" s="206"/>
      <c r="K691" s="222">
        <f>I691</f>
        <v>28.7</v>
      </c>
      <c r="L691" s="277">
        <v>1033</v>
      </c>
      <c r="M691" s="146">
        <f>K691/L691</f>
        <v>0.027783155856727977</v>
      </c>
      <c r="N691" s="220">
        <v>182.24</v>
      </c>
      <c r="O691" s="148">
        <f>M691*N691</f>
        <v>5.063202323330107</v>
      </c>
      <c r="P691" s="208">
        <f>M691*60*1000</f>
        <v>1666.9893514036787</v>
      </c>
      <c r="Q691" s="149">
        <f>P691*N691/1000</f>
        <v>303.79213939980644</v>
      </c>
      <c r="S691" s="88"/>
      <c r="T691" s="88"/>
    </row>
    <row r="692" spans="1:20" ht="12.75">
      <c r="A692" s="920"/>
      <c r="B692" s="34">
        <v>9</v>
      </c>
      <c r="C692" s="205" t="s">
        <v>1004</v>
      </c>
      <c r="D692" s="135">
        <v>20</v>
      </c>
      <c r="E692" s="135"/>
      <c r="F692" s="222">
        <v>35.28</v>
      </c>
      <c r="G692" s="222">
        <v>1.98</v>
      </c>
      <c r="H692" s="222">
        <v>3.2</v>
      </c>
      <c r="I692" s="222">
        <v>30.3</v>
      </c>
      <c r="J692" s="206"/>
      <c r="K692" s="222">
        <f>I692</f>
        <v>30.3</v>
      </c>
      <c r="L692" s="277">
        <v>1062</v>
      </c>
      <c r="M692" s="146">
        <f>K692/L692</f>
        <v>0.028531073446327684</v>
      </c>
      <c r="N692" s="220">
        <v>182.24</v>
      </c>
      <c r="O692" s="148">
        <f>M692*N692</f>
        <v>5.199502824858757</v>
      </c>
      <c r="P692" s="208">
        <f>M692*60*1000</f>
        <v>1711.864406779661</v>
      </c>
      <c r="Q692" s="149">
        <f>P692*N692/1000</f>
        <v>311.97016949152544</v>
      </c>
      <c r="S692" s="88"/>
      <c r="T692" s="88"/>
    </row>
    <row r="693" spans="1:20" ht="13.5" thickBot="1">
      <c r="A693" s="921"/>
      <c r="B693" s="1097">
        <v>10</v>
      </c>
      <c r="C693" s="216" t="s">
        <v>1005</v>
      </c>
      <c r="D693" s="136">
        <v>20</v>
      </c>
      <c r="E693" s="136"/>
      <c r="F693" s="312">
        <v>36</v>
      </c>
      <c r="G693" s="312">
        <v>2.4</v>
      </c>
      <c r="H693" s="312">
        <v>3.2</v>
      </c>
      <c r="I693" s="312">
        <v>30.44</v>
      </c>
      <c r="J693" s="358"/>
      <c r="K693" s="312">
        <f>I693</f>
        <v>30.44</v>
      </c>
      <c r="L693" s="278">
        <v>1027</v>
      </c>
      <c r="M693" s="211">
        <f>K693/L693</f>
        <v>0.02963972736124635</v>
      </c>
      <c r="N693" s="221">
        <v>182.24</v>
      </c>
      <c r="O693" s="212">
        <f>M693*N693</f>
        <v>5.401543914313535</v>
      </c>
      <c r="P693" s="212">
        <f>M693*60*1000</f>
        <v>1778.3836416747808</v>
      </c>
      <c r="Q693" s="213">
        <f>P693*N693/1000</f>
        <v>324.09263485881206</v>
      </c>
      <c r="S693" s="88"/>
      <c r="T693" s="88"/>
    </row>
    <row r="694" spans="2:20" ht="12.75">
      <c r="B694" s="1098"/>
      <c r="S694" s="88"/>
      <c r="T694" s="88"/>
    </row>
    <row r="695" spans="19:20" ht="12.75">
      <c r="S695" s="88"/>
      <c r="T695" s="88"/>
    </row>
    <row r="696" spans="19:20" ht="12.75">
      <c r="S696" s="88"/>
      <c r="T696" s="88"/>
    </row>
    <row r="697" spans="19:20" ht="12.75">
      <c r="S697" s="88"/>
      <c r="T697" s="88"/>
    </row>
    <row r="698" spans="19:20" ht="12.75">
      <c r="S698" s="88"/>
      <c r="T698" s="88"/>
    </row>
    <row r="699" spans="19:20" ht="12.75">
      <c r="S699" s="88"/>
      <c r="T699" s="88"/>
    </row>
    <row r="700" spans="19:20" ht="12.75">
      <c r="S700" s="88"/>
      <c r="T700" s="88"/>
    </row>
    <row r="701" spans="1:20" ht="15">
      <c r="A701" s="967" t="s">
        <v>53</v>
      </c>
      <c r="B701" s="967"/>
      <c r="C701" s="967"/>
      <c r="D701" s="967"/>
      <c r="E701" s="967"/>
      <c r="F701" s="967"/>
      <c r="G701" s="967"/>
      <c r="H701" s="967"/>
      <c r="I701" s="967"/>
      <c r="J701" s="967"/>
      <c r="K701" s="967"/>
      <c r="L701" s="967"/>
      <c r="M701" s="967"/>
      <c r="N701" s="967"/>
      <c r="O701" s="967"/>
      <c r="P701" s="967"/>
      <c r="Q701" s="967"/>
      <c r="S701" s="88"/>
      <c r="T701" s="88"/>
    </row>
    <row r="702" spans="1:20" ht="13.5" thickBot="1">
      <c r="A702" s="968" t="s">
        <v>716</v>
      </c>
      <c r="B702" s="968"/>
      <c r="C702" s="968"/>
      <c r="D702" s="968"/>
      <c r="E702" s="968"/>
      <c r="F702" s="968"/>
      <c r="G702" s="968"/>
      <c r="H702" s="968"/>
      <c r="I702" s="968"/>
      <c r="J702" s="968"/>
      <c r="K702" s="968"/>
      <c r="L702" s="968"/>
      <c r="M702" s="968"/>
      <c r="N702" s="968"/>
      <c r="O702" s="968"/>
      <c r="P702" s="968"/>
      <c r="Q702" s="968"/>
      <c r="S702" s="88"/>
      <c r="T702" s="88"/>
    </row>
    <row r="703" spans="1:20" ht="12.75" customHeight="1">
      <c r="A703" s="952" t="s">
        <v>1</v>
      </c>
      <c r="B703" s="955" t="s">
        <v>0</v>
      </c>
      <c r="C703" s="944" t="s">
        <v>2</v>
      </c>
      <c r="D703" s="1005" t="s">
        <v>3</v>
      </c>
      <c r="E703" s="1005" t="s">
        <v>41</v>
      </c>
      <c r="F703" s="1025" t="s">
        <v>14</v>
      </c>
      <c r="G703" s="1025"/>
      <c r="H703" s="1025"/>
      <c r="I703" s="1025"/>
      <c r="J703" s="1005" t="s">
        <v>4</v>
      </c>
      <c r="K703" s="1005" t="s">
        <v>15</v>
      </c>
      <c r="L703" s="1080" t="s">
        <v>5</v>
      </c>
      <c r="M703" s="1005" t="s">
        <v>6</v>
      </c>
      <c r="N703" s="1005" t="s">
        <v>16</v>
      </c>
      <c r="O703" s="1005" t="s">
        <v>17</v>
      </c>
      <c r="P703" s="1026" t="s">
        <v>25</v>
      </c>
      <c r="Q703" s="929" t="s">
        <v>26</v>
      </c>
      <c r="R703" s="2"/>
      <c r="S703" s="88"/>
      <c r="T703" s="88"/>
    </row>
    <row r="704" spans="1:20" s="2" customFormat="1" ht="45" customHeight="1">
      <c r="A704" s="953"/>
      <c r="B704" s="956"/>
      <c r="C704" s="958"/>
      <c r="D704" s="981"/>
      <c r="E704" s="981"/>
      <c r="F704" s="37" t="s">
        <v>44</v>
      </c>
      <c r="G704" s="37" t="s">
        <v>19</v>
      </c>
      <c r="H704" s="37" t="s">
        <v>20</v>
      </c>
      <c r="I704" s="37" t="s">
        <v>21</v>
      </c>
      <c r="J704" s="981"/>
      <c r="K704" s="981"/>
      <c r="L704" s="1081"/>
      <c r="M704" s="981"/>
      <c r="N704" s="981"/>
      <c r="O704" s="981"/>
      <c r="P704" s="1027"/>
      <c r="Q704" s="930"/>
      <c r="R704" s="3"/>
      <c r="S704" s="88"/>
      <c r="T704" s="88"/>
    </row>
    <row r="705" spans="1:20" s="3" customFormat="1" ht="13.5" customHeight="1" thickBot="1">
      <c r="A705" s="954"/>
      <c r="B705" s="957"/>
      <c r="C705" s="959"/>
      <c r="D705" s="58" t="s">
        <v>7</v>
      </c>
      <c r="E705" s="58" t="s">
        <v>8</v>
      </c>
      <c r="F705" s="58" t="s">
        <v>9</v>
      </c>
      <c r="G705" s="58" t="s">
        <v>9</v>
      </c>
      <c r="H705" s="58" t="s">
        <v>9</v>
      </c>
      <c r="I705" s="58" t="s">
        <v>9</v>
      </c>
      <c r="J705" s="58" t="s">
        <v>22</v>
      </c>
      <c r="K705" s="58" t="s">
        <v>9</v>
      </c>
      <c r="L705" s="83" t="s">
        <v>22</v>
      </c>
      <c r="M705" s="58" t="s">
        <v>23</v>
      </c>
      <c r="N705" s="58" t="s">
        <v>10</v>
      </c>
      <c r="O705" s="58" t="s">
        <v>24</v>
      </c>
      <c r="P705" s="65" t="s">
        <v>27</v>
      </c>
      <c r="Q705" s="60" t="s">
        <v>28</v>
      </c>
      <c r="R705" s="1"/>
      <c r="S705" s="88"/>
      <c r="T705" s="88"/>
    </row>
    <row r="706" spans="1:20" s="92" customFormat="1" ht="12.75" customHeight="1">
      <c r="A706" s="916" t="s">
        <v>50</v>
      </c>
      <c r="B706" s="91">
        <v>1</v>
      </c>
      <c r="C706" s="16" t="s">
        <v>380</v>
      </c>
      <c r="D706" s="30">
        <v>50</v>
      </c>
      <c r="E706" s="30">
        <v>1978</v>
      </c>
      <c r="F706" s="130">
        <v>29.5</v>
      </c>
      <c r="G706" s="410">
        <v>4.6834</v>
      </c>
      <c r="H706" s="130">
        <v>8</v>
      </c>
      <c r="I706" s="130">
        <f aca="true" t="shared" si="105" ref="I706:I712">F706-G706-H706</f>
        <v>16.8166</v>
      </c>
      <c r="J706" s="187">
        <v>2590.16</v>
      </c>
      <c r="K706" s="130">
        <v>16.82</v>
      </c>
      <c r="L706" s="187">
        <v>2590.16</v>
      </c>
      <c r="M706" s="412">
        <f aca="true" t="shared" si="106" ref="M706:M712">K706/L706</f>
        <v>0.006493807332365569</v>
      </c>
      <c r="N706" s="199">
        <v>273.59</v>
      </c>
      <c r="O706" s="198">
        <f aca="true" t="shared" si="107" ref="O706:O712">M706*N706</f>
        <v>1.7766407480618958</v>
      </c>
      <c r="P706" s="198">
        <f aca="true" t="shared" si="108" ref="P706:P712">M706*1000*60</f>
        <v>389.6284399419342</v>
      </c>
      <c r="Q706" s="189">
        <f aca="true" t="shared" si="109" ref="Q706:Q712">O706*60</f>
        <v>106.59844488371374</v>
      </c>
      <c r="S706" s="88"/>
      <c r="T706" s="88"/>
    </row>
    <row r="707" spans="1:20" s="92" customFormat="1" ht="12.75" customHeight="1">
      <c r="A707" s="916"/>
      <c r="B707" s="91">
        <v>2</v>
      </c>
      <c r="C707" s="16" t="s">
        <v>382</v>
      </c>
      <c r="D707" s="30">
        <v>12</v>
      </c>
      <c r="E707" s="30">
        <v>1963</v>
      </c>
      <c r="F707" s="130">
        <v>6.58</v>
      </c>
      <c r="G707" s="130">
        <v>0.6363</v>
      </c>
      <c r="H707" s="130">
        <v>1.92</v>
      </c>
      <c r="I707" s="130">
        <f t="shared" si="105"/>
        <v>4.0237</v>
      </c>
      <c r="J707" s="187">
        <v>532.45</v>
      </c>
      <c r="K707" s="130">
        <v>4.02</v>
      </c>
      <c r="L707" s="411">
        <v>532.45</v>
      </c>
      <c r="M707" s="412">
        <f t="shared" si="106"/>
        <v>0.007550004695276551</v>
      </c>
      <c r="N707" s="199">
        <v>273.59</v>
      </c>
      <c r="O707" s="198">
        <f t="shared" si="107"/>
        <v>2.065605784580711</v>
      </c>
      <c r="P707" s="198">
        <f t="shared" si="108"/>
        <v>453.000281716593</v>
      </c>
      <c r="Q707" s="189">
        <f t="shared" si="109"/>
        <v>123.93634707484267</v>
      </c>
      <c r="S707" s="88"/>
      <c r="T707" s="88"/>
    </row>
    <row r="708" spans="1:20" s="92" customFormat="1" ht="12.75" customHeight="1">
      <c r="A708" s="916"/>
      <c r="B708" s="91">
        <v>3</v>
      </c>
      <c r="C708" s="16" t="s">
        <v>381</v>
      </c>
      <c r="D708" s="30">
        <v>60</v>
      </c>
      <c r="E708" s="30">
        <v>1986</v>
      </c>
      <c r="F708" s="130">
        <v>45.6</v>
      </c>
      <c r="G708" s="130">
        <v>7.4499</v>
      </c>
      <c r="H708" s="130">
        <v>9.28</v>
      </c>
      <c r="I708" s="130">
        <f t="shared" si="105"/>
        <v>28.8701</v>
      </c>
      <c r="J708" s="187">
        <v>3808.21</v>
      </c>
      <c r="K708" s="130">
        <v>28.87</v>
      </c>
      <c r="L708" s="411">
        <v>3808.21</v>
      </c>
      <c r="M708" s="412">
        <f t="shared" si="106"/>
        <v>0.007580989493751657</v>
      </c>
      <c r="N708" s="199">
        <v>273.59</v>
      </c>
      <c r="O708" s="198">
        <f t="shared" si="107"/>
        <v>2.0740829155955156</v>
      </c>
      <c r="P708" s="198">
        <f t="shared" si="108"/>
        <v>454.8593696250994</v>
      </c>
      <c r="Q708" s="189">
        <f t="shared" si="109"/>
        <v>124.44497493573094</v>
      </c>
      <c r="S708" s="88"/>
      <c r="T708" s="88"/>
    </row>
    <row r="709" spans="1:20" s="92" customFormat="1" ht="12.75" customHeight="1">
      <c r="A709" s="916"/>
      <c r="B709" s="91">
        <v>4</v>
      </c>
      <c r="C709" s="16" t="s">
        <v>268</v>
      </c>
      <c r="D709" s="30">
        <v>55</v>
      </c>
      <c r="E709" s="30">
        <v>1966</v>
      </c>
      <c r="F709" s="130">
        <v>35.3</v>
      </c>
      <c r="G709" s="130">
        <v>5.0449</v>
      </c>
      <c r="H709" s="130">
        <v>8.8</v>
      </c>
      <c r="I709" s="130">
        <f t="shared" si="105"/>
        <v>21.455099999999998</v>
      </c>
      <c r="J709" s="187">
        <v>2564.02</v>
      </c>
      <c r="K709" s="130">
        <v>21.46</v>
      </c>
      <c r="L709" s="187">
        <v>2564.02</v>
      </c>
      <c r="M709" s="412">
        <f t="shared" si="106"/>
        <v>0.008369669503358008</v>
      </c>
      <c r="N709" s="199">
        <v>273.59</v>
      </c>
      <c r="O709" s="198">
        <f t="shared" si="107"/>
        <v>2.289857879423717</v>
      </c>
      <c r="P709" s="198">
        <f t="shared" si="108"/>
        <v>502.18017020148045</v>
      </c>
      <c r="Q709" s="189">
        <f t="shared" si="109"/>
        <v>137.39147276542303</v>
      </c>
      <c r="S709" s="88"/>
      <c r="T709" s="88"/>
    </row>
    <row r="710" spans="1:20" s="92" customFormat="1" ht="12.75" customHeight="1">
      <c r="A710" s="916"/>
      <c r="B710" s="91">
        <v>5</v>
      </c>
      <c r="C710" s="16" t="s">
        <v>269</v>
      </c>
      <c r="D710" s="30">
        <v>12</v>
      </c>
      <c r="E710" s="30">
        <v>1962</v>
      </c>
      <c r="F710" s="130">
        <v>7.3</v>
      </c>
      <c r="G710" s="130">
        <v>0.771556</v>
      </c>
      <c r="H710" s="130">
        <v>1.92</v>
      </c>
      <c r="I710" s="130">
        <f t="shared" si="105"/>
        <v>4.6084439999999995</v>
      </c>
      <c r="J710" s="187">
        <v>533.7</v>
      </c>
      <c r="K710" s="130">
        <v>4.61</v>
      </c>
      <c r="L710" s="187">
        <v>533.7</v>
      </c>
      <c r="M710" s="412">
        <f t="shared" si="106"/>
        <v>0.008637811504590594</v>
      </c>
      <c r="N710" s="199">
        <v>273.59</v>
      </c>
      <c r="O710" s="198">
        <f t="shared" si="107"/>
        <v>2.3632188495409405</v>
      </c>
      <c r="P710" s="198">
        <f t="shared" si="108"/>
        <v>518.2686902754357</v>
      </c>
      <c r="Q710" s="189">
        <f t="shared" si="109"/>
        <v>141.79313097245642</v>
      </c>
      <c r="S710" s="88"/>
      <c r="T710" s="88"/>
    </row>
    <row r="711" spans="1:20" s="92" customFormat="1" ht="12.75" customHeight="1">
      <c r="A711" s="916"/>
      <c r="B711" s="91">
        <v>6</v>
      </c>
      <c r="C711" s="16" t="s">
        <v>267</v>
      </c>
      <c r="D711" s="30">
        <v>24</v>
      </c>
      <c r="E711" s="30">
        <v>1991</v>
      </c>
      <c r="F711" s="130">
        <v>16.08</v>
      </c>
      <c r="G711" s="130">
        <v>1.8093</v>
      </c>
      <c r="H711" s="130">
        <v>3.84</v>
      </c>
      <c r="I711" s="130">
        <f t="shared" si="105"/>
        <v>10.430699999999998</v>
      </c>
      <c r="J711" s="187">
        <v>1163.97</v>
      </c>
      <c r="K711" s="130">
        <v>10.43</v>
      </c>
      <c r="L711" s="187">
        <v>1163.97</v>
      </c>
      <c r="M711" s="412">
        <f t="shared" si="106"/>
        <v>0.008960712045843106</v>
      </c>
      <c r="N711" s="199">
        <v>273.59</v>
      </c>
      <c r="O711" s="198">
        <f t="shared" si="107"/>
        <v>2.4515612086222154</v>
      </c>
      <c r="P711" s="198">
        <f t="shared" si="108"/>
        <v>537.6427227505864</v>
      </c>
      <c r="Q711" s="189">
        <f t="shared" si="109"/>
        <v>147.09367251733292</v>
      </c>
      <c r="S711" s="88"/>
      <c r="T711" s="88"/>
    </row>
    <row r="712" spans="1:20" s="92" customFormat="1" ht="12.75" customHeight="1">
      <c r="A712" s="916"/>
      <c r="B712" s="91">
        <v>7</v>
      </c>
      <c r="C712" s="16" t="s">
        <v>270</v>
      </c>
      <c r="D712" s="30">
        <v>30</v>
      </c>
      <c r="E712" s="30">
        <v>2007</v>
      </c>
      <c r="F712" s="130">
        <v>21.36</v>
      </c>
      <c r="G712" s="130">
        <v>5.1244</v>
      </c>
      <c r="H712" s="130">
        <v>2.4</v>
      </c>
      <c r="I712" s="130">
        <f t="shared" si="105"/>
        <v>13.835599999999998</v>
      </c>
      <c r="J712" s="187">
        <v>1423.9</v>
      </c>
      <c r="K712" s="130">
        <v>13.84</v>
      </c>
      <c r="L712" s="187">
        <v>1423.9</v>
      </c>
      <c r="M712" s="412">
        <f t="shared" si="106"/>
        <v>0.009719783692675047</v>
      </c>
      <c r="N712" s="199">
        <v>273.59</v>
      </c>
      <c r="O712" s="198">
        <f t="shared" si="107"/>
        <v>2.659235620478966</v>
      </c>
      <c r="P712" s="198">
        <f t="shared" si="108"/>
        <v>583.1870215605029</v>
      </c>
      <c r="Q712" s="189">
        <f t="shared" si="109"/>
        <v>159.55413722873794</v>
      </c>
      <c r="S712" s="88"/>
      <c r="T712" s="88"/>
    </row>
    <row r="713" spans="1:20" s="92" customFormat="1" ht="12.75" customHeight="1">
      <c r="A713" s="916"/>
      <c r="B713" s="91">
        <v>8</v>
      </c>
      <c r="C713" s="16"/>
      <c r="D713" s="30"/>
      <c r="E713" s="30"/>
      <c r="F713" s="130"/>
      <c r="G713" s="130"/>
      <c r="H713" s="130"/>
      <c r="I713" s="130"/>
      <c r="J713" s="187"/>
      <c r="K713" s="130"/>
      <c r="L713" s="187"/>
      <c r="M713" s="412"/>
      <c r="N713" s="198"/>
      <c r="O713" s="198"/>
      <c r="P713" s="198"/>
      <c r="Q713" s="189"/>
      <c r="S713" s="88"/>
      <c r="T713" s="88"/>
    </row>
    <row r="714" spans="1:20" s="92" customFormat="1" ht="12.75" customHeight="1">
      <c r="A714" s="916"/>
      <c r="B714" s="91">
        <v>9</v>
      </c>
      <c r="C714" s="16"/>
      <c r="D714" s="30"/>
      <c r="E714" s="30"/>
      <c r="F714" s="130"/>
      <c r="G714" s="130"/>
      <c r="H714" s="130"/>
      <c r="I714" s="130"/>
      <c r="J714" s="187"/>
      <c r="K714" s="130"/>
      <c r="L714" s="187"/>
      <c r="M714" s="412"/>
      <c r="N714" s="198"/>
      <c r="O714" s="198"/>
      <c r="P714" s="198"/>
      <c r="Q714" s="189"/>
      <c r="S714" s="88"/>
      <c r="T714" s="88"/>
    </row>
    <row r="715" spans="1:20" s="92" customFormat="1" ht="12.75" customHeight="1" thickBot="1">
      <c r="A715" s="917"/>
      <c r="B715" s="91">
        <v>10</v>
      </c>
      <c r="C715" s="64"/>
      <c r="D715" s="63"/>
      <c r="E715" s="63"/>
      <c r="F715" s="235"/>
      <c r="G715" s="235"/>
      <c r="H715" s="235"/>
      <c r="I715" s="235"/>
      <c r="J715" s="364"/>
      <c r="K715" s="235"/>
      <c r="L715" s="364"/>
      <c r="M715" s="413"/>
      <c r="N715" s="127"/>
      <c r="O715" s="127"/>
      <c r="P715" s="127"/>
      <c r="Q715" s="128"/>
      <c r="S715" s="88"/>
      <c r="T715" s="88"/>
    </row>
    <row r="716" spans="1:20" s="92" customFormat="1" ht="12.75" customHeight="1">
      <c r="A716" s="1009" t="s">
        <v>33</v>
      </c>
      <c r="B716" s="758">
        <v>1</v>
      </c>
      <c r="C716" s="801" t="s">
        <v>717</v>
      </c>
      <c r="D716" s="752">
        <v>30</v>
      </c>
      <c r="E716" s="752">
        <v>1982</v>
      </c>
      <c r="F716" s="802">
        <v>29.4</v>
      </c>
      <c r="G716" s="802">
        <v>2.9521</v>
      </c>
      <c r="H716" s="802">
        <v>4.8</v>
      </c>
      <c r="I716" s="727">
        <f aca="true" t="shared" si="110" ref="I716:I723">F716-G716-H716</f>
        <v>21.647899999999996</v>
      </c>
      <c r="J716" s="803">
        <v>1725.45</v>
      </c>
      <c r="K716" s="802">
        <v>21.65</v>
      </c>
      <c r="L716" s="803">
        <v>1725.45</v>
      </c>
      <c r="M716" s="804">
        <f aca="true" t="shared" si="111" ref="M716:M723">K716/L716</f>
        <v>0.012547451389492596</v>
      </c>
      <c r="N716" s="802">
        <v>273.59</v>
      </c>
      <c r="O716" s="805">
        <f aca="true" t="shared" si="112" ref="O716:O723">M716*N716</f>
        <v>3.432857225651279</v>
      </c>
      <c r="P716" s="805">
        <f aca="true" t="shared" si="113" ref="P716:P723">M716*1000*60</f>
        <v>752.8470833695557</v>
      </c>
      <c r="Q716" s="806">
        <f aca="true" t="shared" si="114" ref="Q716:Q723">O716*60</f>
        <v>205.97143353907674</v>
      </c>
      <c r="S716" s="88"/>
      <c r="T716" s="88"/>
    </row>
    <row r="717" spans="1:20" s="92" customFormat="1" ht="12.75" customHeight="1">
      <c r="A717" s="1010"/>
      <c r="B717" s="755">
        <v>2</v>
      </c>
      <c r="C717" s="765" t="s">
        <v>271</v>
      </c>
      <c r="D717" s="725">
        <v>50</v>
      </c>
      <c r="E717" s="725">
        <v>1975</v>
      </c>
      <c r="F717" s="727">
        <v>47.9</v>
      </c>
      <c r="G717" s="727">
        <v>3.57</v>
      </c>
      <c r="H717" s="727">
        <v>7.68</v>
      </c>
      <c r="I717" s="727">
        <f t="shared" si="110"/>
        <v>36.65</v>
      </c>
      <c r="J717" s="728">
        <v>2485.16</v>
      </c>
      <c r="K717" s="727">
        <v>36.65</v>
      </c>
      <c r="L717" s="728">
        <v>2485.16</v>
      </c>
      <c r="M717" s="807">
        <f t="shared" si="111"/>
        <v>0.014747541405784739</v>
      </c>
      <c r="N717" s="768">
        <v>273.59</v>
      </c>
      <c r="O717" s="771">
        <f t="shared" si="112"/>
        <v>4.034779853208646</v>
      </c>
      <c r="P717" s="771">
        <f t="shared" si="113"/>
        <v>884.8524843470843</v>
      </c>
      <c r="Q717" s="772">
        <f t="shared" si="114"/>
        <v>242.08679119251877</v>
      </c>
      <c r="S717" s="88"/>
      <c r="T717" s="88"/>
    </row>
    <row r="718" spans="1:20" s="92" customFormat="1" ht="12.75" customHeight="1">
      <c r="A718" s="1010"/>
      <c r="B718" s="755">
        <v>3</v>
      </c>
      <c r="C718" s="765" t="s">
        <v>272</v>
      </c>
      <c r="D718" s="725">
        <v>60</v>
      </c>
      <c r="E718" s="725">
        <v>1980</v>
      </c>
      <c r="F718" s="727">
        <v>71.7</v>
      </c>
      <c r="G718" s="727">
        <v>7.74</v>
      </c>
      <c r="H718" s="727">
        <v>9.44</v>
      </c>
      <c r="I718" s="727">
        <f t="shared" si="110"/>
        <v>54.52</v>
      </c>
      <c r="J718" s="728">
        <v>3087.75</v>
      </c>
      <c r="K718" s="727">
        <v>54.52</v>
      </c>
      <c r="L718" s="728">
        <v>3087.75</v>
      </c>
      <c r="M718" s="807">
        <f t="shared" si="111"/>
        <v>0.01765686988907781</v>
      </c>
      <c r="N718" s="768">
        <v>273.59</v>
      </c>
      <c r="O718" s="771">
        <f t="shared" si="112"/>
        <v>4.830743032952798</v>
      </c>
      <c r="P718" s="771">
        <f t="shared" si="113"/>
        <v>1059.4121933446686</v>
      </c>
      <c r="Q718" s="772">
        <f t="shared" si="114"/>
        <v>289.8445819771679</v>
      </c>
      <c r="S718" s="88"/>
      <c r="T718" s="88"/>
    </row>
    <row r="719" spans="1:20" ht="12.75" customHeight="1">
      <c r="A719" s="1010"/>
      <c r="B719" s="725">
        <v>4</v>
      </c>
      <c r="C719" s="765" t="s">
        <v>276</v>
      </c>
      <c r="D719" s="725">
        <v>40</v>
      </c>
      <c r="E719" s="725">
        <v>1973</v>
      </c>
      <c r="F719" s="727">
        <v>58.4</v>
      </c>
      <c r="G719" s="727">
        <v>4.8459</v>
      </c>
      <c r="H719" s="727">
        <v>6.16</v>
      </c>
      <c r="I719" s="727">
        <f t="shared" si="110"/>
        <v>47.394099999999995</v>
      </c>
      <c r="J719" s="728">
        <v>2567.4</v>
      </c>
      <c r="K719" s="727">
        <v>47.39</v>
      </c>
      <c r="L719" s="728">
        <v>2567.4</v>
      </c>
      <c r="M719" s="807">
        <f t="shared" si="111"/>
        <v>0.018458362545766143</v>
      </c>
      <c r="N719" s="768">
        <v>273.59</v>
      </c>
      <c r="O719" s="771">
        <f t="shared" si="112"/>
        <v>5.050023408896158</v>
      </c>
      <c r="P719" s="771">
        <f t="shared" si="113"/>
        <v>1107.5017527459686</v>
      </c>
      <c r="Q719" s="772">
        <f t="shared" si="114"/>
        <v>303.0014045337695</v>
      </c>
      <c r="S719" s="88"/>
      <c r="T719" s="88"/>
    </row>
    <row r="720" spans="1:20" ht="12.75" customHeight="1">
      <c r="A720" s="1010"/>
      <c r="B720" s="725">
        <v>5</v>
      </c>
      <c r="C720" s="766" t="s">
        <v>274</v>
      </c>
      <c r="D720" s="743">
        <v>50</v>
      </c>
      <c r="E720" s="743">
        <v>1988</v>
      </c>
      <c r="F720" s="768">
        <v>60.8</v>
      </c>
      <c r="G720" s="768">
        <v>4.7345</v>
      </c>
      <c r="H720" s="768">
        <v>7.92</v>
      </c>
      <c r="I720" s="727">
        <f t="shared" si="110"/>
        <v>48.1455</v>
      </c>
      <c r="J720" s="769">
        <v>2389.81</v>
      </c>
      <c r="K720" s="768">
        <v>48.15</v>
      </c>
      <c r="L720" s="769">
        <v>2389.81</v>
      </c>
      <c r="M720" s="807">
        <f t="shared" si="111"/>
        <v>0.020148045242090375</v>
      </c>
      <c r="N720" s="768">
        <v>273.59</v>
      </c>
      <c r="O720" s="771">
        <f t="shared" si="112"/>
        <v>5.512303697783505</v>
      </c>
      <c r="P720" s="771">
        <f t="shared" si="113"/>
        <v>1208.8827145254227</v>
      </c>
      <c r="Q720" s="772">
        <f t="shared" si="114"/>
        <v>330.7382218670103</v>
      </c>
      <c r="S720" s="88"/>
      <c r="T720" s="88"/>
    </row>
    <row r="721" spans="1:20" ht="12.75" customHeight="1">
      <c r="A721" s="1010"/>
      <c r="B721" s="725">
        <v>6</v>
      </c>
      <c r="C721" s="765" t="s">
        <v>273</v>
      </c>
      <c r="D721" s="725">
        <v>60</v>
      </c>
      <c r="E721" s="725">
        <v>1968</v>
      </c>
      <c r="F721" s="727">
        <v>71.9</v>
      </c>
      <c r="G721" s="727">
        <v>3.73</v>
      </c>
      <c r="H721" s="727">
        <v>9.6</v>
      </c>
      <c r="I721" s="727">
        <f t="shared" si="110"/>
        <v>58.57</v>
      </c>
      <c r="J721" s="728">
        <v>2726.22</v>
      </c>
      <c r="K721" s="727">
        <v>58.57</v>
      </c>
      <c r="L721" s="728">
        <v>2726.22</v>
      </c>
      <c r="M721" s="807">
        <f t="shared" si="111"/>
        <v>0.021483959475024027</v>
      </c>
      <c r="N721" s="727">
        <v>273.59</v>
      </c>
      <c r="O721" s="771">
        <f t="shared" si="112"/>
        <v>5.8777964727718235</v>
      </c>
      <c r="P721" s="771">
        <f t="shared" si="113"/>
        <v>1289.0375685014415</v>
      </c>
      <c r="Q721" s="772">
        <f t="shared" si="114"/>
        <v>352.6677883663094</v>
      </c>
      <c r="S721" s="88"/>
      <c r="T721" s="88"/>
    </row>
    <row r="722" spans="1:20" ht="12.75" customHeight="1">
      <c r="A722" s="1010"/>
      <c r="B722" s="725">
        <v>7</v>
      </c>
      <c r="C722" s="808" t="s">
        <v>277</v>
      </c>
      <c r="D722" s="760">
        <v>60</v>
      </c>
      <c r="E722" s="760">
        <v>1981</v>
      </c>
      <c r="F722" s="809">
        <v>84.6</v>
      </c>
      <c r="G722" s="809">
        <v>7.5169</v>
      </c>
      <c r="H722" s="809">
        <v>9.6</v>
      </c>
      <c r="I722" s="727">
        <f t="shared" si="110"/>
        <v>67.48310000000001</v>
      </c>
      <c r="J722" s="810">
        <v>3123.05</v>
      </c>
      <c r="K722" s="809">
        <v>67.48</v>
      </c>
      <c r="L722" s="810">
        <v>3123.05</v>
      </c>
      <c r="M722" s="807">
        <f t="shared" si="111"/>
        <v>0.02160708281967948</v>
      </c>
      <c r="N722" s="727">
        <v>273.59</v>
      </c>
      <c r="O722" s="771">
        <f t="shared" si="112"/>
        <v>5.911481788636109</v>
      </c>
      <c r="P722" s="771">
        <f t="shared" si="113"/>
        <v>1296.4249691807688</v>
      </c>
      <c r="Q722" s="772">
        <f t="shared" si="114"/>
        <v>354.6889073181665</v>
      </c>
      <c r="S722" s="88"/>
      <c r="T722" s="88"/>
    </row>
    <row r="723" spans="1:20" ht="12" customHeight="1">
      <c r="A723" s="1010"/>
      <c r="B723" s="725">
        <v>8</v>
      </c>
      <c r="C723" s="808" t="s">
        <v>278</v>
      </c>
      <c r="D723" s="760">
        <v>30</v>
      </c>
      <c r="E723" s="760">
        <v>1992</v>
      </c>
      <c r="F723" s="809">
        <v>41.7</v>
      </c>
      <c r="G723" s="809">
        <v>2.3951</v>
      </c>
      <c r="H723" s="809">
        <v>4.8</v>
      </c>
      <c r="I723" s="809">
        <f t="shared" si="110"/>
        <v>34.504900000000006</v>
      </c>
      <c r="J723" s="810">
        <v>1576.72</v>
      </c>
      <c r="K723" s="809">
        <v>34.5</v>
      </c>
      <c r="L723" s="810">
        <v>1576.72</v>
      </c>
      <c r="M723" s="811">
        <f t="shared" si="111"/>
        <v>0.021880866609163326</v>
      </c>
      <c r="N723" s="809">
        <v>273.59</v>
      </c>
      <c r="O723" s="812">
        <f t="shared" si="112"/>
        <v>5.986386295600994</v>
      </c>
      <c r="P723" s="812">
        <f t="shared" si="113"/>
        <v>1312.8519965497997</v>
      </c>
      <c r="Q723" s="813">
        <f t="shared" si="114"/>
        <v>359.18317773605963</v>
      </c>
      <c r="S723" s="88"/>
      <c r="T723" s="88"/>
    </row>
    <row r="724" spans="1:20" ht="12.75" customHeight="1" thickBot="1">
      <c r="A724" s="1010"/>
      <c r="B724" s="760">
        <v>9</v>
      </c>
      <c r="C724" s="814"/>
      <c r="D724" s="736"/>
      <c r="E724" s="736"/>
      <c r="F724" s="815"/>
      <c r="G724" s="815"/>
      <c r="H724" s="737"/>
      <c r="I724" s="815"/>
      <c r="J724" s="816"/>
      <c r="K724" s="815"/>
      <c r="L724" s="816"/>
      <c r="M724" s="817"/>
      <c r="N724" s="818"/>
      <c r="O724" s="773"/>
      <c r="P724" s="773"/>
      <c r="Q724" s="819"/>
      <c r="S724" s="88"/>
      <c r="T724" s="88"/>
    </row>
    <row r="725" spans="1:20" ht="12.75">
      <c r="A725" s="1044" t="s">
        <v>48</v>
      </c>
      <c r="B725" s="32">
        <v>1</v>
      </c>
      <c r="C725" s="31" t="s">
        <v>275</v>
      </c>
      <c r="D725" s="32">
        <v>30</v>
      </c>
      <c r="E725" s="32">
        <v>1985</v>
      </c>
      <c r="F725" s="373">
        <v>42.3</v>
      </c>
      <c r="G725" s="373">
        <v>2.6736</v>
      </c>
      <c r="H725" s="373">
        <v>4.8</v>
      </c>
      <c r="I725" s="373">
        <f>F725-G725-H725</f>
        <v>34.8264</v>
      </c>
      <c r="J725" s="375">
        <v>1566.56</v>
      </c>
      <c r="K725" s="373">
        <v>34.83</v>
      </c>
      <c r="L725" s="375">
        <v>1566.56</v>
      </c>
      <c r="M725" s="606">
        <f aca="true" t="shared" si="115" ref="M725:M731">K725/L725</f>
        <v>0.022233428658972525</v>
      </c>
      <c r="N725" s="373">
        <v>273.59</v>
      </c>
      <c r="O725" s="299">
        <f aca="true" t="shared" si="116" ref="O725:O731">M725*N725</f>
        <v>6.082843746808293</v>
      </c>
      <c r="P725" s="299">
        <f aca="true" t="shared" si="117" ref="P725:P731">M725*1000*60</f>
        <v>1334.0057195383515</v>
      </c>
      <c r="Q725" s="300">
        <f aca="true" t="shared" si="118" ref="Q725:Q731">O725*60</f>
        <v>364.9706248084976</v>
      </c>
      <c r="S725" s="88"/>
      <c r="T725" s="88"/>
    </row>
    <row r="726" spans="1:20" ht="12.75">
      <c r="A726" s="938"/>
      <c r="B726" s="124">
        <v>2</v>
      </c>
      <c r="C726" s="33" t="s">
        <v>280</v>
      </c>
      <c r="D726" s="34">
        <v>85</v>
      </c>
      <c r="E726" s="34">
        <v>1970</v>
      </c>
      <c r="F726" s="200">
        <v>111.3</v>
      </c>
      <c r="G726" s="200">
        <v>7.6866</v>
      </c>
      <c r="H726" s="200">
        <v>13.6</v>
      </c>
      <c r="I726" s="200">
        <f>F726-G726-H726</f>
        <v>90.0134</v>
      </c>
      <c r="J726" s="309">
        <v>3839.76</v>
      </c>
      <c r="K726" s="200">
        <v>90.01</v>
      </c>
      <c r="L726" s="309">
        <v>3839.76</v>
      </c>
      <c r="M726" s="465">
        <f t="shared" si="115"/>
        <v>0.023441569264745714</v>
      </c>
      <c r="N726" s="237">
        <v>273.59</v>
      </c>
      <c r="O726" s="236">
        <f t="shared" si="116"/>
        <v>6.413378935141779</v>
      </c>
      <c r="P726" s="236">
        <f t="shared" si="117"/>
        <v>1406.4941558847427</v>
      </c>
      <c r="Q726" s="179">
        <f t="shared" si="118"/>
        <v>384.80273610850674</v>
      </c>
      <c r="S726" s="88"/>
      <c r="T726" s="88"/>
    </row>
    <row r="727" spans="1:20" ht="12.75">
      <c r="A727" s="938"/>
      <c r="B727" s="124">
        <v>3</v>
      </c>
      <c r="C727" s="33" t="s">
        <v>279</v>
      </c>
      <c r="D727" s="34">
        <v>85</v>
      </c>
      <c r="E727" s="34">
        <v>1970</v>
      </c>
      <c r="F727" s="200">
        <v>110.7</v>
      </c>
      <c r="G727" s="200">
        <v>5.23578</v>
      </c>
      <c r="H727" s="200">
        <v>13.6</v>
      </c>
      <c r="I727" s="200">
        <f>F727-G727-H727</f>
        <v>91.86422</v>
      </c>
      <c r="J727" s="309">
        <v>3789.83</v>
      </c>
      <c r="K727" s="200">
        <v>91.86</v>
      </c>
      <c r="L727" s="309">
        <v>3789.83</v>
      </c>
      <c r="M727" s="465">
        <f t="shared" si="115"/>
        <v>0.02423855423594198</v>
      </c>
      <c r="N727" s="237">
        <v>273.59</v>
      </c>
      <c r="O727" s="236">
        <f t="shared" si="116"/>
        <v>6.631426053411365</v>
      </c>
      <c r="P727" s="236">
        <f t="shared" si="117"/>
        <v>1454.3132541565187</v>
      </c>
      <c r="Q727" s="179">
        <f t="shared" si="118"/>
        <v>397.88556320468194</v>
      </c>
      <c r="R727" s="232"/>
      <c r="S727" s="88"/>
      <c r="T727" s="88"/>
    </row>
    <row r="728" spans="1:20" ht="12.75">
      <c r="A728" s="938"/>
      <c r="B728" s="124">
        <v>4</v>
      </c>
      <c r="C728" s="33" t="s">
        <v>718</v>
      </c>
      <c r="D728" s="34">
        <v>20</v>
      </c>
      <c r="E728" s="34">
        <v>1994</v>
      </c>
      <c r="F728" s="200">
        <v>32.2</v>
      </c>
      <c r="G728" s="200">
        <v>1.5596</v>
      </c>
      <c r="H728" s="200">
        <v>2.72</v>
      </c>
      <c r="I728" s="200">
        <f>F728-G728-H728</f>
        <v>27.920400000000004</v>
      </c>
      <c r="J728" s="309">
        <v>1127.46</v>
      </c>
      <c r="K728" s="200">
        <v>27.92</v>
      </c>
      <c r="L728" s="309">
        <v>1127.46</v>
      </c>
      <c r="M728" s="465">
        <f t="shared" si="115"/>
        <v>0.0247636279779327</v>
      </c>
      <c r="N728" s="237">
        <v>273.59</v>
      </c>
      <c r="O728" s="236">
        <f t="shared" si="116"/>
        <v>6.775080978482607</v>
      </c>
      <c r="P728" s="236">
        <f t="shared" si="117"/>
        <v>1485.817678675962</v>
      </c>
      <c r="Q728" s="179">
        <f t="shared" si="118"/>
        <v>406.5048587089564</v>
      </c>
      <c r="S728" s="88"/>
      <c r="T728" s="88"/>
    </row>
    <row r="729" spans="1:20" ht="13.5" customHeight="1">
      <c r="A729" s="938"/>
      <c r="B729" s="34">
        <v>5</v>
      </c>
      <c r="C729" s="33" t="s">
        <v>719</v>
      </c>
      <c r="D729" s="34">
        <v>60</v>
      </c>
      <c r="E729" s="34">
        <v>1985</v>
      </c>
      <c r="F729" s="200">
        <v>115.5</v>
      </c>
      <c r="G729" s="200">
        <v>7.07</v>
      </c>
      <c r="H729" s="200">
        <v>9.36</v>
      </c>
      <c r="I729" s="200">
        <f>F729-G729-H729</f>
        <v>99.07000000000001</v>
      </c>
      <c r="J729" s="309">
        <v>3842.05</v>
      </c>
      <c r="K729" s="200">
        <v>99.07</v>
      </c>
      <c r="L729" s="309">
        <v>3842.05</v>
      </c>
      <c r="M729" s="465">
        <f t="shared" si="115"/>
        <v>0.02578571335615101</v>
      </c>
      <c r="N729" s="237">
        <v>273.59</v>
      </c>
      <c r="O729" s="236">
        <f t="shared" si="116"/>
        <v>7.054713317109354</v>
      </c>
      <c r="P729" s="236">
        <f t="shared" si="117"/>
        <v>1547.1428013690606</v>
      </c>
      <c r="Q729" s="179">
        <f t="shared" si="118"/>
        <v>423.28279902656124</v>
      </c>
      <c r="S729" s="88"/>
      <c r="T729" s="88"/>
    </row>
    <row r="730" spans="1:20" ht="12" customHeight="1">
      <c r="A730" s="938"/>
      <c r="B730" s="34">
        <v>6</v>
      </c>
      <c r="C730" s="33" t="s">
        <v>720</v>
      </c>
      <c r="D730" s="34">
        <v>15</v>
      </c>
      <c r="E730" s="34">
        <v>1992</v>
      </c>
      <c r="F730" s="200">
        <v>28.9</v>
      </c>
      <c r="G730" s="200">
        <v>2.06</v>
      </c>
      <c r="H730" s="200">
        <v>2.32</v>
      </c>
      <c r="I730" s="200">
        <v>24.52</v>
      </c>
      <c r="J730" s="309">
        <v>861.65</v>
      </c>
      <c r="K730" s="200">
        <v>24.52</v>
      </c>
      <c r="L730" s="309">
        <v>861.65</v>
      </c>
      <c r="M730" s="465">
        <f t="shared" si="115"/>
        <v>0.028457030116636684</v>
      </c>
      <c r="N730" s="237">
        <v>273.59</v>
      </c>
      <c r="O730" s="236">
        <f t="shared" si="116"/>
        <v>7.78555886961063</v>
      </c>
      <c r="P730" s="236">
        <f t="shared" si="117"/>
        <v>1707.421806998201</v>
      </c>
      <c r="Q730" s="179">
        <f t="shared" si="118"/>
        <v>467.1335321766378</v>
      </c>
      <c r="S730" s="88"/>
      <c r="T730" s="88"/>
    </row>
    <row r="731" spans="1:20" ht="12.75">
      <c r="A731" s="938"/>
      <c r="B731" s="34">
        <v>7</v>
      </c>
      <c r="C731" s="33" t="s">
        <v>281</v>
      </c>
      <c r="D731" s="34">
        <v>6</v>
      </c>
      <c r="E731" s="34">
        <v>1956</v>
      </c>
      <c r="F731" s="200">
        <v>9.8</v>
      </c>
      <c r="G731" s="200"/>
      <c r="H731" s="200"/>
      <c r="I731" s="200">
        <f>F731-G731-H731</f>
        <v>9.8</v>
      </c>
      <c r="J731" s="309">
        <v>306.27</v>
      </c>
      <c r="K731" s="200">
        <v>9.8</v>
      </c>
      <c r="L731" s="309">
        <v>306.27</v>
      </c>
      <c r="M731" s="476">
        <f t="shared" si="115"/>
        <v>0.03199791034054919</v>
      </c>
      <c r="N731" s="200">
        <v>273.59</v>
      </c>
      <c r="O731" s="176">
        <f t="shared" si="116"/>
        <v>8.754308290070853</v>
      </c>
      <c r="P731" s="176">
        <f t="shared" si="117"/>
        <v>1919.8746204329514</v>
      </c>
      <c r="Q731" s="177">
        <f t="shared" si="118"/>
        <v>525.2584974042511</v>
      </c>
      <c r="S731" s="88"/>
      <c r="T731" s="88"/>
    </row>
    <row r="732" spans="1:20" ht="12.75">
      <c r="A732" s="938"/>
      <c r="B732" s="34">
        <v>8</v>
      </c>
      <c r="C732" s="679"/>
      <c r="D732" s="82"/>
      <c r="E732" s="82"/>
      <c r="F732" s="680"/>
      <c r="G732" s="680"/>
      <c r="H732" s="680"/>
      <c r="I732" s="680"/>
      <c r="J732" s="681"/>
      <c r="K732" s="680"/>
      <c r="L732" s="681"/>
      <c r="M732" s="517"/>
      <c r="N732" s="516"/>
      <c r="O732" s="74"/>
      <c r="P732" s="74"/>
      <c r="Q732" s="682"/>
      <c r="S732" s="88"/>
      <c r="T732" s="88"/>
    </row>
    <row r="733" spans="1:20" ht="13.5" thickBot="1">
      <c r="A733" s="939"/>
      <c r="B733" s="75">
        <v>9</v>
      </c>
      <c r="C733" s="238"/>
      <c r="D733" s="36"/>
      <c r="E733" s="36"/>
      <c r="F733" s="377"/>
      <c r="G733" s="377"/>
      <c r="H733" s="377"/>
      <c r="I733" s="377"/>
      <c r="J733" s="77"/>
      <c r="K733" s="377"/>
      <c r="L733" s="77"/>
      <c r="M733" s="78"/>
      <c r="N733" s="76"/>
      <c r="O733" s="35"/>
      <c r="P733" s="35"/>
      <c r="Q733" s="239"/>
      <c r="S733" s="88"/>
      <c r="T733" s="88"/>
    </row>
    <row r="734" spans="1:20" ht="12.75">
      <c r="A734" s="1041" t="s">
        <v>34</v>
      </c>
      <c r="B734" s="39">
        <v>1</v>
      </c>
      <c r="C734" s="47" t="s">
        <v>285</v>
      </c>
      <c r="D734" s="39">
        <v>24</v>
      </c>
      <c r="E734" s="39">
        <v>1960</v>
      </c>
      <c r="F734" s="379">
        <v>29.26</v>
      </c>
      <c r="G734" s="379"/>
      <c r="H734" s="379"/>
      <c r="I734" s="379">
        <f aca="true" t="shared" si="119" ref="I734:I740">F734-G734-H734</f>
        <v>29.26</v>
      </c>
      <c r="J734" s="398">
        <v>914.41</v>
      </c>
      <c r="K734" s="379">
        <v>29.26</v>
      </c>
      <c r="L734" s="398">
        <v>914.41</v>
      </c>
      <c r="M734" s="607">
        <f aca="true" t="shared" si="120" ref="M734:M740">K734/L734</f>
        <v>0.031998775166500806</v>
      </c>
      <c r="N734" s="379">
        <v>273.59</v>
      </c>
      <c r="O734" s="337">
        <f aca="true" t="shared" si="121" ref="O734:O740">M734*N734</f>
        <v>8.754544897802955</v>
      </c>
      <c r="P734" s="337">
        <f aca="true" t="shared" si="122" ref="P734:P740">M734*1000*60</f>
        <v>1919.9265099900483</v>
      </c>
      <c r="Q734" s="268">
        <f aca="true" t="shared" si="123" ref="Q734:Q740">O734*60</f>
        <v>525.2726938681773</v>
      </c>
      <c r="S734" s="88"/>
      <c r="T734" s="88"/>
    </row>
    <row r="735" spans="1:20" ht="12.75">
      <c r="A735" s="965"/>
      <c r="B735" s="41">
        <v>2</v>
      </c>
      <c r="C735" s="48" t="s">
        <v>282</v>
      </c>
      <c r="D735" s="41">
        <v>8</v>
      </c>
      <c r="E735" s="41">
        <v>1976</v>
      </c>
      <c r="F735" s="201">
        <v>13.1</v>
      </c>
      <c r="G735" s="201"/>
      <c r="H735" s="201"/>
      <c r="I735" s="201">
        <f t="shared" si="119"/>
        <v>13.1</v>
      </c>
      <c r="J735" s="376">
        <v>404.24</v>
      </c>
      <c r="K735" s="201">
        <v>13.1</v>
      </c>
      <c r="L735" s="376">
        <v>404.24</v>
      </c>
      <c r="M735" s="466">
        <f t="shared" si="120"/>
        <v>0.032406491193350484</v>
      </c>
      <c r="N735" s="383">
        <v>273.59</v>
      </c>
      <c r="O735" s="190">
        <f t="shared" si="121"/>
        <v>8.866091925588758</v>
      </c>
      <c r="P735" s="190">
        <f t="shared" si="122"/>
        <v>1944.389471601029</v>
      </c>
      <c r="Q735" s="191">
        <f t="shared" si="123"/>
        <v>531.9655155353255</v>
      </c>
      <c r="S735" s="88"/>
      <c r="T735" s="88"/>
    </row>
    <row r="736" spans="1:20" ht="12.75">
      <c r="A736" s="965"/>
      <c r="B736" s="41">
        <v>3</v>
      </c>
      <c r="C736" s="48" t="s">
        <v>721</v>
      </c>
      <c r="D736" s="41">
        <v>24</v>
      </c>
      <c r="E736" s="41">
        <v>1961</v>
      </c>
      <c r="F736" s="201">
        <v>31.2</v>
      </c>
      <c r="G736" s="201"/>
      <c r="H736" s="201"/>
      <c r="I736" s="201">
        <f t="shared" si="119"/>
        <v>31.2</v>
      </c>
      <c r="J736" s="376">
        <v>909.58</v>
      </c>
      <c r="K736" s="201">
        <v>31.2</v>
      </c>
      <c r="L736" s="376">
        <v>909.58</v>
      </c>
      <c r="M736" s="466">
        <f t="shared" si="120"/>
        <v>0.03430154576837661</v>
      </c>
      <c r="N736" s="383">
        <v>273.59</v>
      </c>
      <c r="O736" s="190">
        <f t="shared" si="121"/>
        <v>9.384559906770155</v>
      </c>
      <c r="P736" s="190">
        <f t="shared" si="122"/>
        <v>2058.0927461025963</v>
      </c>
      <c r="Q736" s="191">
        <f t="shared" si="123"/>
        <v>563.0735944062093</v>
      </c>
      <c r="S736" s="88"/>
      <c r="T736" s="88"/>
    </row>
    <row r="737" spans="1:20" ht="12.75">
      <c r="A737" s="965"/>
      <c r="B737" s="41">
        <v>4</v>
      </c>
      <c r="C737" s="48" t="s">
        <v>286</v>
      </c>
      <c r="D737" s="41">
        <v>16</v>
      </c>
      <c r="E737" s="41">
        <v>1964</v>
      </c>
      <c r="F737" s="201">
        <v>21.54</v>
      </c>
      <c r="G737" s="201"/>
      <c r="H737" s="201"/>
      <c r="I737" s="201">
        <f t="shared" si="119"/>
        <v>21.54</v>
      </c>
      <c r="J737" s="376">
        <v>606.77</v>
      </c>
      <c r="K737" s="201">
        <v>21.54</v>
      </c>
      <c r="L737" s="376">
        <v>606.77</v>
      </c>
      <c r="M737" s="466">
        <f t="shared" si="120"/>
        <v>0.035499447896237456</v>
      </c>
      <c r="N737" s="383">
        <v>273.59</v>
      </c>
      <c r="O737" s="190">
        <f t="shared" si="121"/>
        <v>9.712293949931604</v>
      </c>
      <c r="P737" s="190">
        <f t="shared" si="122"/>
        <v>2129.9668737742472</v>
      </c>
      <c r="Q737" s="191">
        <f t="shared" si="123"/>
        <v>582.7376369958963</v>
      </c>
      <c r="S737" s="88"/>
      <c r="T737" s="88"/>
    </row>
    <row r="738" spans="1:20" ht="12.75">
      <c r="A738" s="965"/>
      <c r="B738" s="41">
        <v>5</v>
      </c>
      <c r="C738" s="48" t="s">
        <v>722</v>
      </c>
      <c r="D738" s="41">
        <v>7</v>
      </c>
      <c r="E738" s="41">
        <v>1955</v>
      </c>
      <c r="F738" s="201">
        <v>11.7</v>
      </c>
      <c r="G738" s="201"/>
      <c r="H738" s="201"/>
      <c r="I738" s="201">
        <f t="shared" si="119"/>
        <v>11.7</v>
      </c>
      <c r="J738" s="376">
        <v>326.22</v>
      </c>
      <c r="K738" s="201">
        <v>11.7</v>
      </c>
      <c r="L738" s="376">
        <v>326.22</v>
      </c>
      <c r="M738" s="466">
        <f t="shared" si="120"/>
        <v>0.035865366930292436</v>
      </c>
      <c r="N738" s="383">
        <v>273.59</v>
      </c>
      <c r="O738" s="190">
        <f t="shared" si="121"/>
        <v>9.812405738458708</v>
      </c>
      <c r="P738" s="190">
        <f t="shared" si="122"/>
        <v>2151.9220158175463</v>
      </c>
      <c r="Q738" s="191">
        <f t="shared" si="123"/>
        <v>588.7443443075224</v>
      </c>
      <c r="S738" s="88"/>
      <c r="T738" s="88"/>
    </row>
    <row r="739" spans="1:20" ht="12" customHeight="1">
      <c r="A739" s="965"/>
      <c r="B739" s="41">
        <v>6</v>
      </c>
      <c r="C739" s="48" t="s">
        <v>283</v>
      </c>
      <c r="D739" s="41">
        <v>9</v>
      </c>
      <c r="E739" s="41">
        <v>1961</v>
      </c>
      <c r="F739" s="201">
        <v>15.2</v>
      </c>
      <c r="G739" s="201"/>
      <c r="H739" s="201"/>
      <c r="I739" s="201">
        <f t="shared" si="119"/>
        <v>15.2</v>
      </c>
      <c r="J739" s="376">
        <v>391.38</v>
      </c>
      <c r="K739" s="201">
        <v>15.2</v>
      </c>
      <c r="L739" s="376">
        <v>391.38</v>
      </c>
      <c r="M739" s="466">
        <f t="shared" si="120"/>
        <v>0.03883693597015688</v>
      </c>
      <c r="N739" s="383">
        <v>273.59</v>
      </c>
      <c r="O739" s="190">
        <f t="shared" si="121"/>
        <v>10.62539731207522</v>
      </c>
      <c r="P739" s="190">
        <f t="shared" si="122"/>
        <v>2330.2161582094127</v>
      </c>
      <c r="Q739" s="191">
        <f t="shared" si="123"/>
        <v>637.5238387245132</v>
      </c>
      <c r="S739" s="88"/>
      <c r="T739" s="88"/>
    </row>
    <row r="740" spans="1:20" ht="12.75">
      <c r="A740" s="965"/>
      <c r="B740" s="41">
        <v>7</v>
      </c>
      <c r="C740" s="48" t="s">
        <v>284</v>
      </c>
      <c r="D740" s="41">
        <v>10</v>
      </c>
      <c r="E740" s="41">
        <v>1938</v>
      </c>
      <c r="F740" s="201">
        <v>13.7</v>
      </c>
      <c r="G740" s="201"/>
      <c r="H740" s="201"/>
      <c r="I740" s="201">
        <f t="shared" si="119"/>
        <v>13.7</v>
      </c>
      <c r="J740" s="376">
        <v>304.82</v>
      </c>
      <c r="K740" s="201">
        <v>13.7</v>
      </c>
      <c r="L740" s="376">
        <v>304.82</v>
      </c>
      <c r="M740" s="466">
        <f t="shared" si="120"/>
        <v>0.044944557443737286</v>
      </c>
      <c r="N740" s="383">
        <v>273.59</v>
      </c>
      <c r="O740" s="190">
        <f t="shared" si="121"/>
        <v>12.296381471032083</v>
      </c>
      <c r="P740" s="190">
        <f t="shared" si="122"/>
        <v>2696.6734466242374</v>
      </c>
      <c r="Q740" s="191">
        <f t="shared" si="123"/>
        <v>737.782888261925</v>
      </c>
      <c r="S740" s="88"/>
      <c r="T740" s="88"/>
    </row>
    <row r="741" spans="1:20" ht="12.75">
      <c r="A741" s="965"/>
      <c r="B741" s="41">
        <v>8</v>
      </c>
      <c r="C741" s="81"/>
      <c r="D741" s="41"/>
      <c r="E741" s="41"/>
      <c r="F741" s="49"/>
      <c r="G741" s="49"/>
      <c r="H741" s="49"/>
      <c r="I741" s="49"/>
      <c r="J741" s="84"/>
      <c r="K741" s="49"/>
      <c r="L741" s="84"/>
      <c r="M741" s="50"/>
      <c r="N741" s="49"/>
      <c r="O741" s="49"/>
      <c r="P741" s="49"/>
      <c r="Q741" s="85"/>
      <c r="S741" s="88"/>
      <c r="T741" s="88"/>
    </row>
    <row r="742" spans="1:20" ht="13.5" thickBot="1">
      <c r="A742" s="966"/>
      <c r="B742" s="45">
        <v>9</v>
      </c>
      <c r="C742" s="119"/>
      <c r="D742" s="45"/>
      <c r="E742" s="45"/>
      <c r="F742" s="52"/>
      <c r="G742" s="52"/>
      <c r="H742" s="52"/>
      <c r="I742" s="52"/>
      <c r="J742" s="87"/>
      <c r="K742" s="52"/>
      <c r="L742" s="117"/>
      <c r="M742" s="53"/>
      <c r="N742" s="52"/>
      <c r="O742" s="52"/>
      <c r="P742" s="52"/>
      <c r="Q742" s="86"/>
      <c r="S742" s="88"/>
      <c r="T742" s="88"/>
    </row>
    <row r="743" spans="19:20" ht="12.75">
      <c r="S743" s="88"/>
      <c r="T743" s="88"/>
    </row>
    <row r="744" spans="19:20" ht="12.75">
      <c r="S744" s="88"/>
      <c r="T744" s="88"/>
    </row>
    <row r="745" spans="19:20" ht="12.75">
      <c r="S745" s="88"/>
      <c r="T745" s="88"/>
    </row>
    <row r="746" spans="19:20" ht="12.75">
      <c r="S746" s="88"/>
      <c r="T746" s="88"/>
    </row>
    <row r="747" spans="19:20" ht="12.75">
      <c r="S747" s="88"/>
      <c r="T747" s="88"/>
    </row>
    <row r="748" spans="19:20" ht="12.75">
      <c r="S748" s="88"/>
      <c r="T748" s="88"/>
    </row>
    <row r="749" spans="19:20" ht="12.75">
      <c r="S749" s="88"/>
      <c r="T749" s="88"/>
    </row>
    <row r="750" spans="1:20" ht="15">
      <c r="A750" s="967" t="s">
        <v>42</v>
      </c>
      <c r="B750" s="967"/>
      <c r="C750" s="967"/>
      <c r="D750" s="967"/>
      <c r="E750" s="967"/>
      <c r="F750" s="967"/>
      <c r="G750" s="967"/>
      <c r="H750" s="967"/>
      <c r="I750" s="967"/>
      <c r="J750" s="967"/>
      <c r="K750" s="967"/>
      <c r="L750" s="967"/>
      <c r="M750" s="967"/>
      <c r="N750" s="967"/>
      <c r="O750" s="967"/>
      <c r="P750" s="967"/>
      <c r="Q750" s="967"/>
      <c r="S750" s="88"/>
      <c r="T750" s="88"/>
    </row>
    <row r="751" spans="1:20" ht="13.5" thickBot="1">
      <c r="A751" s="1074" t="s">
        <v>723</v>
      </c>
      <c r="B751" s="1074"/>
      <c r="C751" s="1074"/>
      <c r="D751" s="1074"/>
      <c r="E751" s="1074"/>
      <c r="F751" s="1074"/>
      <c r="G751" s="1074"/>
      <c r="H751" s="1074"/>
      <c r="I751" s="1074"/>
      <c r="J751" s="1074"/>
      <c r="K751" s="1074"/>
      <c r="L751" s="1074"/>
      <c r="M751" s="1074"/>
      <c r="N751" s="1074"/>
      <c r="O751" s="1074"/>
      <c r="P751" s="1074"/>
      <c r="Q751" s="1074"/>
      <c r="S751" s="88"/>
      <c r="T751" s="88"/>
    </row>
    <row r="752" spans="1:20" ht="12.75" customHeight="1">
      <c r="A752" s="952" t="s">
        <v>1</v>
      </c>
      <c r="B752" s="955" t="s">
        <v>0</v>
      </c>
      <c r="C752" s="944" t="s">
        <v>2</v>
      </c>
      <c r="D752" s="944" t="s">
        <v>3</v>
      </c>
      <c r="E752" s="944" t="s">
        <v>13</v>
      </c>
      <c r="F752" s="960" t="s">
        <v>14</v>
      </c>
      <c r="G752" s="961"/>
      <c r="H752" s="961"/>
      <c r="I752" s="962"/>
      <c r="J752" s="944" t="s">
        <v>4</v>
      </c>
      <c r="K752" s="944" t="s">
        <v>15</v>
      </c>
      <c r="L752" s="944" t="s">
        <v>5</v>
      </c>
      <c r="M752" s="944" t="s">
        <v>6</v>
      </c>
      <c r="N752" s="944" t="s">
        <v>16</v>
      </c>
      <c r="O752" s="944" t="s">
        <v>17</v>
      </c>
      <c r="P752" s="1026" t="s">
        <v>25</v>
      </c>
      <c r="Q752" s="929" t="s">
        <v>26</v>
      </c>
      <c r="S752" s="88"/>
      <c r="T752" s="88"/>
    </row>
    <row r="753" spans="1:20" s="2" customFormat="1" ht="33.75">
      <c r="A753" s="953"/>
      <c r="B753" s="956"/>
      <c r="C753" s="958"/>
      <c r="D753" s="945"/>
      <c r="E753" s="945"/>
      <c r="F753" s="37" t="s">
        <v>18</v>
      </c>
      <c r="G753" s="37" t="s">
        <v>19</v>
      </c>
      <c r="H753" s="37" t="s">
        <v>20</v>
      </c>
      <c r="I753" s="37" t="s">
        <v>21</v>
      </c>
      <c r="J753" s="945"/>
      <c r="K753" s="945"/>
      <c r="L753" s="945"/>
      <c r="M753" s="945"/>
      <c r="N753" s="945"/>
      <c r="O753" s="945"/>
      <c r="P753" s="1027"/>
      <c r="Q753" s="930"/>
      <c r="S753" s="88"/>
      <c r="T753" s="88"/>
    </row>
    <row r="754" spans="1:20" s="3" customFormat="1" ht="13.5" customHeight="1" thickBot="1">
      <c r="A754" s="954"/>
      <c r="B754" s="957"/>
      <c r="C754" s="959"/>
      <c r="D754" s="58" t="s">
        <v>7</v>
      </c>
      <c r="E754" s="58" t="s">
        <v>8</v>
      </c>
      <c r="F754" s="58" t="s">
        <v>9</v>
      </c>
      <c r="G754" s="58" t="s">
        <v>9</v>
      </c>
      <c r="H754" s="58" t="s">
        <v>9</v>
      </c>
      <c r="I754" s="58" t="s">
        <v>9</v>
      </c>
      <c r="J754" s="58" t="s">
        <v>22</v>
      </c>
      <c r="K754" s="58" t="s">
        <v>9</v>
      </c>
      <c r="L754" s="58" t="s">
        <v>22</v>
      </c>
      <c r="M754" s="58" t="s">
        <v>134</v>
      </c>
      <c r="N754" s="58" t="s">
        <v>10</v>
      </c>
      <c r="O754" s="58" t="s">
        <v>135</v>
      </c>
      <c r="P754" s="58" t="s">
        <v>27</v>
      </c>
      <c r="Q754" s="60" t="s">
        <v>28</v>
      </c>
      <c r="S754" s="88"/>
      <c r="T754" s="88"/>
    </row>
    <row r="755" spans="1:20" ht="11.25" customHeight="1">
      <c r="A755" s="1023" t="s">
        <v>11</v>
      </c>
      <c r="B755" s="29">
        <v>1</v>
      </c>
      <c r="C755" s="202" t="s">
        <v>724</v>
      </c>
      <c r="D755" s="159">
        <v>45</v>
      </c>
      <c r="E755" s="159">
        <v>1990</v>
      </c>
      <c r="F755" s="253">
        <f>G755+H755+I755</f>
        <v>31.810000000000002</v>
      </c>
      <c r="G755" s="253">
        <v>4.6</v>
      </c>
      <c r="H755" s="253">
        <v>7.2</v>
      </c>
      <c r="I755" s="253">
        <v>20.01</v>
      </c>
      <c r="J755" s="270">
        <v>2333.7</v>
      </c>
      <c r="K755" s="253">
        <f>I755</f>
        <v>20.01</v>
      </c>
      <c r="L755" s="270">
        <v>2333.65</v>
      </c>
      <c r="M755" s="173">
        <f>K755/L755</f>
        <v>0.008574550596704733</v>
      </c>
      <c r="N755" s="160">
        <v>206.88</v>
      </c>
      <c r="O755" s="164">
        <f>M755*N755</f>
        <v>1.773903027446275</v>
      </c>
      <c r="P755" s="164">
        <f>M755*60*1000</f>
        <v>514.473035802284</v>
      </c>
      <c r="Q755" s="203">
        <f>P755*N755/1000</f>
        <v>106.43418164677652</v>
      </c>
      <c r="S755" s="88"/>
      <c r="T755" s="88"/>
    </row>
    <row r="756" spans="1:20" ht="12.75">
      <c r="A756" s="1024"/>
      <c r="B756" s="30">
        <v>2</v>
      </c>
      <c r="C756" s="158" t="s">
        <v>725</v>
      </c>
      <c r="D756" s="132">
        <v>45</v>
      </c>
      <c r="E756" s="132">
        <v>1974</v>
      </c>
      <c r="F756" s="248">
        <f>G756+H756+I756</f>
        <v>34.2</v>
      </c>
      <c r="G756" s="248">
        <v>5.44</v>
      </c>
      <c r="H756" s="248">
        <v>7.2</v>
      </c>
      <c r="I756" s="248">
        <v>21.56</v>
      </c>
      <c r="J756" s="271">
        <v>2276.56</v>
      </c>
      <c r="K756" s="248">
        <f>I756</f>
        <v>21.56</v>
      </c>
      <c r="L756" s="271">
        <f>J756</f>
        <v>2276.56</v>
      </c>
      <c r="M756" s="141">
        <f>K756/L756</f>
        <v>0.009470429068419018</v>
      </c>
      <c r="N756" s="142">
        <v>206.88</v>
      </c>
      <c r="O756" s="143">
        <f>M756*N756</f>
        <v>1.9592423656745264</v>
      </c>
      <c r="P756" s="164">
        <f>M756*60*1000</f>
        <v>568.2257441051411</v>
      </c>
      <c r="Q756" s="144">
        <f>P756*N756/1000</f>
        <v>117.55454194047158</v>
      </c>
      <c r="S756" s="88"/>
      <c r="T756" s="88"/>
    </row>
    <row r="757" spans="1:20" ht="12.75">
      <c r="A757" s="1024"/>
      <c r="B757" s="30">
        <v>3</v>
      </c>
      <c r="C757" s="158" t="s">
        <v>726</v>
      </c>
      <c r="D757" s="132">
        <v>60</v>
      </c>
      <c r="E757" s="132">
        <v>1966</v>
      </c>
      <c r="F757" s="248">
        <f>G757+H757+I757</f>
        <v>56.676</v>
      </c>
      <c r="G757" s="248">
        <v>4.496</v>
      </c>
      <c r="H757" s="248">
        <v>9.47</v>
      </c>
      <c r="I757" s="248">
        <v>42.71</v>
      </c>
      <c r="J757" s="271">
        <v>2733.17</v>
      </c>
      <c r="K757" s="248">
        <f>I757</f>
        <v>42.71</v>
      </c>
      <c r="L757" s="271">
        <f>J757</f>
        <v>2733.17</v>
      </c>
      <c r="M757" s="141">
        <f>K757/L757</f>
        <v>0.01562654353735772</v>
      </c>
      <c r="N757" s="142">
        <v>206.88</v>
      </c>
      <c r="O757" s="143">
        <f>M757*N757</f>
        <v>3.2328193270085652</v>
      </c>
      <c r="P757" s="164">
        <f>M757*60*1000</f>
        <v>937.5926122414633</v>
      </c>
      <c r="Q757" s="144">
        <f>P757*N757/1000</f>
        <v>193.96915962051392</v>
      </c>
      <c r="S757" s="88"/>
      <c r="T757" s="88"/>
    </row>
    <row r="758" spans="1:20" ht="12.75">
      <c r="A758" s="1024"/>
      <c r="B758" s="30">
        <v>4</v>
      </c>
      <c r="C758" s="158" t="s">
        <v>727</v>
      </c>
      <c r="D758" s="132">
        <v>100</v>
      </c>
      <c r="E758" s="132">
        <v>1971</v>
      </c>
      <c r="F758" s="248">
        <f>G758+H758+I758</f>
        <v>93.99000000000001</v>
      </c>
      <c r="G758" s="248">
        <v>9.1</v>
      </c>
      <c r="H758" s="248">
        <v>16</v>
      </c>
      <c r="I758" s="248">
        <v>68.89</v>
      </c>
      <c r="J758" s="271">
        <v>4404.44</v>
      </c>
      <c r="K758" s="248">
        <f>I758</f>
        <v>68.89</v>
      </c>
      <c r="L758" s="271">
        <f>J758</f>
        <v>4404.44</v>
      </c>
      <c r="M758" s="141">
        <f>K758/L758</f>
        <v>0.01564103495563568</v>
      </c>
      <c r="N758" s="142">
        <v>206.88</v>
      </c>
      <c r="O758" s="143">
        <f>M758*N758</f>
        <v>3.2358173116219096</v>
      </c>
      <c r="P758" s="164">
        <f>M758*60*1000</f>
        <v>938.4620973381408</v>
      </c>
      <c r="Q758" s="144">
        <f>P758*N758/1000</f>
        <v>194.14903869731455</v>
      </c>
      <c r="S758" s="88"/>
      <c r="T758" s="88"/>
    </row>
    <row r="759" spans="1:20" ht="12.75">
      <c r="A759" s="1024"/>
      <c r="B759" s="30">
        <v>5</v>
      </c>
      <c r="C759" s="93"/>
      <c r="D759" s="30"/>
      <c r="E759" s="30"/>
      <c r="F759" s="130"/>
      <c r="G759" s="130"/>
      <c r="H759" s="130"/>
      <c r="I759" s="130"/>
      <c r="J759" s="187"/>
      <c r="K759" s="130"/>
      <c r="L759" s="187"/>
      <c r="M759" s="295"/>
      <c r="N759" s="126"/>
      <c r="O759" s="126"/>
      <c r="P759" s="126"/>
      <c r="Q759" s="189"/>
      <c r="S759" s="88"/>
      <c r="T759" s="88"/>
    </row>
    <row r="760" spans="1:20" ht="12.75">
      <c r="A760" s="1024"/>
      <c r="B760" s="30">
        <v>6</v>
      </c>
      <c r="C760" s="93"/>
      <c r="D760" s="30"/>
      <c r="E760" s="30"/>
      <c r="F760" s="130"/>
      <c r="G760" s="130"/>
      <c r="H760" s="130"/>
      <c r="I760" s="130"/>
      <c r="J760" s="187"/>
      <c r="K760" s="130"/>
      <c r="L760" s="187"/>
      <c r="M760" s="295"/>
      <c r="N760" s="126"/>
      <c r="O760" s="30"/>
      <c r="P760" s="126"/>
      <c r="Q760" s="189"/>
      <c r="S760" s="88"/>
      <c r="T760" s="88"/>
    </row>
    <row r="761" spans="1:20" ht="13.5" thickBot="1">
      <c r="A761" s="1024"/>
      <c r="B761" s="30">
        <v>7</v>
      </c>
      <c r="C761" s="64"/>
      <c r="D761" s="63"/>
      <c r="E761" s="63"/>
      <c r="F761" s="235"/>
      <c r="G761" s="235"/>
      <c r="H761" s="235"/>
      <c r="I761" s="235"/>
      <c r="J761" s="364"/>
      <c r="K761" s="235"/>
      <c r="L761" s="364"/>
      <c r="M761" s="297"/>
      <c r="N761" s="127"/>
      <c r="O761" s="127"/>
      <c r="P761" s="127"/>
      <c r="Q761" s="128"/>
      <c r="S761" s="88"/>
      <c r="T761" s="88"/>
    </row>
    <row r="762" spans="1:20" ht="12.75">
      <c r="A762" s="1019" t="s">
        <v>29</v>
      </c>
      <c r="B762" s="752">
        <v>1</v>
      </c>
      <c r="C762" s="709" t="s">
        <v>728</v>
      </c>
      <c r="D762" s="710">
        <v>45</v>
      </c>
      <c r="E762" s="710">
        <v>1979</v>
      </c>
      <c r="F762" s="712">
        <f>G762+H762+I762</f>
        <v>56.62</v>
      </c>
      <c r="G762" s="712">
        <v>3.26</v>
      </c>
      <c r="H762" s="712">
        <v>7.2</v>
      </c>
      <c r="I762" s="711">
        <v>46.16</v>
      </c>
      <c r="J762" s="713">
        <v>2327.15</v>
      </c>
      <c r="K762" s="763">
        <f aca="true" t="shared" si="124" ref="K762:L765">I762</f>
        <v>46.16</v>
      </c>
      <c r="L762" s="713">
        <f t="shared" si="124"/>
        <v>2327.15</v>
      </c>
      <c r="M762" s="714">
        <f>K762/L762</f>
        <v>0.019835421008529745</v>
      </c>
      <c r="N762" s="715">
        <v>206.88</v>
      </c>
      <c r="O762" s="716">
        <f>M762*N762</f>
        <v>4.103551898244634</v>
      </c>
      <c r="P762" s="716">
        <f>M762*60*1000</f>
        <v>1190.1252605117847</v>
      </c>
      <c r="Q762" s="717">
        <f>P762*N762/1000</f>
        <v>246.213113894678</v>
      </c>
      <c r="S762" s="88"/>
      <c r="T762" s="88"/>
    </row>
    <row r="763" spans="1:20" ht="12.75">
      <c r="A763" s="1020"/>
      <c r="B763" s="725">
        <v>2</v>
      </c>
      <c r="C763" s="709" t="s">
        <v>729</v>
      </c>
      <c r="D763" s="710">
        <v>60</v>
      </c>
      <c r="E763" s="710">
        <v>1984</v>
      </c>
      <c r="F763" s="711">
        <f>G763+H763+I763</f>
        <v>62.53999999999999</v>
      </c>
      <c r="G763" s="711">
        <v>5.03</v>
      </c>
      <c r="H763" s="711">
        <v>9.6</v>
      </c>
      <c r="I763" s="711">
        <v>47.91</v>
      </c>
      <c r="J763" s="795">
        <v>2410.81</v>
      </c>
      <c r="K763" s="796">
        <f t="shared" si="124"/>
        <v>47.91</v>
      </c>
      <c r="L763" s="797">
        <f t="shared" si="124"/>
        <v>2410.81</v>
      </c>
      <c r="M763" s="714">
        <f>K763/L763</f>
        <v>0.019872988746520878</v>
      </c>
      <c r="N763" s="720">
        <v>206.88</v>
      </c>
      <c r="O763" s="716">
        <f>M763*N763</f>
        <v>4.111323911880239</v>
      </c>
      <c r="P763" s="716">
        <f>M763*60*1000</f>
        <v>1192.3793247912527</v>
      </c>
      <c r="Q763" s="717">
        <f>P763*N763/1000</f>
        <v>246.67943471281436</v>
      </c>
      <c r="S763" s="88"/>
      <c r="T763" s="88"/>
    </row>
    <row r="764" spans="1:20" ht="12.75">
      <c r="A764" s="1020"/>
      <c r="B764" s="725">
        <v>3</v>
      </c>
      <c r="C764" s="709" t="s">
        <v>730</v>
      </c>
      <c r="D764" s="710">
        <v>60</v>
      </c>
      <c r="E764" s="710">
        <v>1983</v>
      </c>
      <c r="F764" s="711">
        <f>G764+H764+I764</f>
        <v>62.29</v>
      </c>
      <c r="G764" s="711">
        <v>5.37</v>
      </c>
      <c r="H764" s="711">
        <v>9.6</v>
      </c>
      <c r="I764" s="711">
        <v>47.32</v>
      </c>
      <c r="J764" s="795">
        <v>2375.11</v>
      </c>
      <c r="K764" s="711">
        <f t="shared" si="124"/>
        <v>47.32</v>
      </c>
      <c r="L764" s="797">
        <f t="shared" si="124"/>
        <v>2375.11</v>
      </c>
      <c r="M764" s="721">
        <f>K764/L764</f>
        <v>0.01992328776351411</v>
      </c>
      <c r="N764" s="720">
        <v>206.88</v>
      </c>
      <c r="O764" s="716">
        <f>M764*N764</f>
        <v>4.121729772515799</v>
      </c>
      <c r="P764" s="716">
        <f>M764*60*1000</f>
        <v>1195.3972658108466</v>
      </c>
      <c r="Q764" s="722">
        <f>P764*N764/1000</f>
        <v>247.30378635094795</v>
      </c>
      <c r="S764" s="88"/>
      <c r="T764" s="88"/>
    </row>
    <row r="765" spans="1:20" ht="12.75">
      <c r="A765" s="1020"/>
      <c r="B765" s="725">
        <v>4</v>
      </c>
      <c r="C765" s="709" t="s">
        <v>731</v>
      </c>
      <c r="D765" s="710">
        <v>25</v>
      </c>
      <c r="E765" s="710">
        <v>1982</v>
      </c>
      <c r="F765" s="711">
        <f>G765+H765+I765</f>
        <v>32.120000000000005</v>
      </c>
      <c r="G765" s="711">
        <v>2.18</v>
      </c>
      <c r="H765" s="711">
        <v>4</v>
      </c>
      <c r="I765" s="711">
        <v>25.94</v>
      </c>
      <c r="J765" s="795">
        <v>1297.39</v>
      </c>
      <c r="K765" s="711">
        <f t="shared" si="124"/>
        <v>25.94</v>
      </c>
      <c r="L765" s="797">
        <f t="shared" si="124"/>
        <v>1297.39</v>
      </c>
      <c r="M765" s="721">
        <f>K765/L765</f>
        <v>0.01999398792961253</v>
      </c>
      <c r="N765" s="720">
        <v>206.88</v>
      </c>
      <c r="O765" s="723">
        <f>M765*N765</f>
        <v>4.1363562228782405</v>
      </c>
      <c r="P765" s="716">
        <f>M765*60*1000</f>
        <v>1199.6392757767517</v>
      </c>
      <c r="Q765" s="722">
        <f>P765*N765/1000</f>
        <v>248.1813733726944</v>
      </c>
      <c r="S765" s="88"/>
      <c r="T765" s="88"/>
    </row>
    <row r="766" spans="1:20" ht="12.75">
      <c r="A766" s="1020"/>
      <c r="B766" s="725">
        <v>5</v>
      </c>
      <c r="C766" s="798"/>
      <c r="D766" s="799"/>
      <c r="E766" s="799"/>
      <c r="F766" s="800"/>
      <c r="G766" s="800"/>
      <c r="H766" s="727"/>
      <c r="I766" s="727"/>
      <c r="J766" s="728"/>
      <c r="K766" s="727"/>
      <c r="L766" s="728"/>
      <c r="M766" s="729"/>
      <c r="N766" s="730"/>
      <c r="O766" s="730"/>
      <c r="P766" s="730"/>
      <c r="Q766" s="772"/>
      <c r="S766" s="88"/>
      <c r="T766" s="88"/>
    </row>
    <row r="767" spans="1:20" ht="12.75">
      <c r="A767" s="1020"/>
      <c r="B767" s="725">
        <v>6</v>
      </c>
      <c r="C767" s="798"/>
      <c r="D767" s="725"/>
      <c r="E767" s="725"/>
      <c r="F767" s="727"/>
      <c r="G767" s="727"/>
      <c r="H767" s="727"/>
      <c r="I767" s="727"/>
      <c r="J767" s="728"/>
      <c r="K767" s="727"/>
      <c r="L767" s="728"/>
      <c r="M767" s="729"/>
      <c r="N767" s="730"/>
      <c r="O767" s="730"/>
      <c r="P767" s="730"/>
      <c r="Q767" s="772"/>
      <c r="S767" s="88"/>
      <c r="T767" s="88"/>
    </row>
    <row r="768" spans="1:20" ht="13.5" thickBot="1">
      <c r="A768" s="1020"/>
      <c r="B768" s="725">
        <v>7</v>
      </c>
      <c r="C768" s="798"/>
      <c r="D768" s="725"/>
      <c r="E768" s="725"/>
      <c r="F768" s="727"/>
      <c r="G768" s="727"/>
      <c r="H768" s="727"/>
      <c r="I768" s="727"/>
      <c r="J768" s="728"/>
      <c r="K768" s="727"/>
      <c r="L768" s="738"/>
      <c r="M768" s="739"/>
      <c r="N768" s="740"/>
      <c r="O768" s="740"/>
      <c r="P768" s="740"/>
      <c r="Q768" s="742"/>
      <c r="S768" s="88"/>
      <c r="T768" s="88"/>
    </row>
    <row r="769" spans="1:20" ht="12.75">
      <c r="A769" s="918" t="s">
        <v>30</v>
      </c>
      <c r="B769" s="32">
        <v>1</v>
      </c>
      <c r="C769" s="215" t="s">
        <v>732</v>
      </c>
      <c r="D769" s="217">
        <v>20</v>
      </c>
      <c r="E769" s="217">
        <v>1970</v>
      </c>
      <c r="F769" s="313">
        <f>G769+H769+I769</f>
        <v>26.480000000000004</v>
      </c>
      <c r="G769" s="313">
        <v>2.11</v>
      </c>
      <c r="H769" s="313">
        <v>3.2</v>
      </c>
      <c r="I769" s="313">
        <v>21.17</v>
      </c>
      <c r="J769" s="276">
        <v>955.92</v>
      </c>
      <c r="K769" s="313">
        <f aca="true" t="shared" si="125" ref="K769:L772">I769</f>
        <v>21.17</v>
      </c>
      <c r="L769" s="390">
        <f t="shared" si="125"/>
        <v>955.92</v>
      </c>
      <c r="M769" s="209">
        <f>K769/L769</f>
        <v>0.022146204703322455</v>
      </c>
      <c r="N769" s="220">
        <v>206.88</v>
      </c>
      <c r="O769" s="208">
        <f>M769*N769</f>
        <v>4.581606829023349</v>
      </c>
      <c r="P769" s="208">
        <f>M769*60*1000</f>
        <v>1328.7722821993473</v>
      </c>
      <c r="Q769" s="210">
        <f>P769*N769/1000</f>
        <v>274.896409741401</v>
      </c>
      <c r="S769" s="88"/>
      <c r="T769" s="88"/>
    </row>
    <row r="770" spans="1:20" ht="12.75">
      <c r="A770" s="919"/>
      <c r="B770" s="34">
        <v>2</v>
      </c>
      <c r="C770" s="205" t="s">
        <v>733</v>
      </c>
      <c r="D770" s="135">
        <v>12</v>
      </c>
      <c r="E770" s="135">
        <v>1995</v>
      </c>
      <c r="F770" s="222">
        <f>G770+H770+I770</f>
        <v>18.88</v>
      </c>
      <c r="G770" s="222">
        <v>1.51</v>
      </c>
      <c r="H770" s="222">
        <v>1.92</v>
      </c>
      <c r="I770" s="222">
        <v>15.45</v>
      </c>
      <c r="J770" s="277">
        <v>693.74</v>
      </c>
      <c r="K770" s="222">
        <f t="shared" si="125"/>
        <v>15.45</v>
      </c>
      <c r="L770" s="277">
        <f t="shared" si="125"/>
        <v>693.74</v>
      </c>
      <c r="M770" s="146">
        <f>K770/L770</f>
        <v>0.022270591287802344</v>
      </c>
      <c r="N770" s="147">
        <v>206.88</v>
      </c>
      <c r="O770" s="148">
        <f>M770*N770</f>
        <v>4.607339925620549</v>
      </c>
      <c r="P770" s="208">
        <f>M770*60*1000</f>
        <v>1336.2354772681406</v>
      </c>
      <c r="Q770" s="149">
        <f>P770*N770/1000</f>
        <v>276.4403955372329</v>
      </c>
      <c r="S770" s="88"/>
      <c r="T770" s="88"/>
    </row>
    <row r="771" spans="1:20" ht="12.75">
      <c r="A771" s="919"/>
      <c r="B771" s="34">
        <v>3</v>
      </c>
      <c r="C771" s="205" t="s">
        <v>734</v>
      </c>
      <c r="D771" s="135">
        <v>30</v>
      </c>
      <c r="E771" s="135">
        <v>1992</v>
      </c>
      <c r="F771" s="222">
        <f>G771+H771+I771</f>
        <v>43</v>
      </c>
      <c r="G771" s="222">
        <v>3.23</v>
      </c>
      <c r="H771" s="222">
        <v>4.8</v>
      </c>
      <c r="I771" s="222">
        <v>34.97</v>
      </c>
      <c r="J771" s="277">
        <v>1568.62</v>
      </c>
      <c r="K771" s="222">
        <f t="shared" si="125"/>
        <v>34.97</v>
      </c>
      <c r="L771" s="277">
        <f t="shared" si="125"/>
        <v>1568.62</v>
      </c>
      <c r="M771" s="146">
        <f>K771/L771</f>
        <v>0.022293480894034247</v>
      </c>
      <c r="N771" s="147">
        <v>206.88</v>
      </c>
      <c r="O771" s="148">
        <f>M771*N771</f>
        <v>4.612075327357805</v>
      </c>
      <c r="P771" s="208">
        <f>M771*60*1000</f>
        <v>1337.6088536420548</v>
      </c>
      <c r="Q771" s="149">
        <f>P771*N771/1000</f>
        <v>276.7245196414683</v>
      </c>
      <c r="S771" s="88"/>
      <c r="T771" s="88"/>
    </row>
    <row r="772" spans="1:20" ht="12.75">
      <c r="A772" s="919"/>
      <c r="B772" s="34">
        <v>4</v>
      </c>
      <c r="C772" s="205" t="s">
        <v>735</v>
      </c>
      <c r="D772" s="135">
        <v>45</v>
      </c>
      <c r="E772" s="135">
        <v>1987</v>
      </c>
      <c r="F772" s="222">
        <f>G772+H772+I772</f>
        <v>62.07</v>
      </c>
      <c r="G772" s="222">
        <v>2.95</v>
      </c>
      <c r="H772" s="222">
        <v>7.2</v>
      </c>
      <c r="I772" s="222">
        <v>51.92</v>
      </c>
      <c r="J772" s="277">
        <v>2322.85</v>
      </c>
      <c r="K772" s="222">
        <f t="shared" si="125"/>
        <v>51.92</v>
      </c>
      <c r="L772" s="277">
        <f t="shared" si="125"/>
        <v>2322.85</v>
      </c>
      <c r="M772" s="146">
        <f>K772/L772</f>
        <v>0.022351852250468176</v>
      </c>
      <c r="N772" s="147">
        <v>206.88</v>
      </c>
      <c r="O772" s="148">
        <f>M772*N772</f>
        <v>4.624151193576856</v>
      </c>
      <c r="P772" s="208">
        <f>M772*60*1000</f>
        <v>1341.1111350280908</v>
      </c>
      <c r="Q772" s="149">
        <f>P772*N772/1000</f>
        <v>277.44907161461146</v>
      </c>
      <c r="S772" s="88"/>
      <c r="T772" s="88"/>
    </row>
    <row r="773" spans="1:20" ht="12.75">
      <c r="A773" s="919"/>
      <c r="B773" s="34">
        <v>5</v>
      </c>
      <c r="C773" s="96"/>
      <c r="D773" s="34"/>
      <c r="E773" s="34"/>
      <c r="F773" s="200"/>
      <c r="G773" s="200"/>
      <c r="H773" s="200"/>
      <c r="I773" s="200"/>
      <c r="J773" s="309"/>
      <c r="K773" s="200"/>
      <c r="L773" s="309"/>
      <c r="M773" s="301"/>
      <c r="N773" s="176"/>
      <c r="O773" s="176"/>
      <c r="P773" s="176"/>
      <c r="Q773" s="179"/>
      <c r="S773" s="88"/>
      <c r="T773" s="88"/>
    </row>
    <row r="774" spans="1:20" ht="12.75">
      <c r="A774" s="919"/>
      <c r="B774" s="34">
        <v>6</v>
      </c>
      <c r="C774" s="95"/>
      <c r="D774" s="34"/>
      <c r="E774" s="34"/>
      <c r="F774" s="200"/>
      <c r="G774" s="200"/>
      <c r="H774" s="200"/>
      <c r="I774" s="200"/>
      <c r="J774" s="309"/>
      <c r="K774" s="200"/>
      <c r="L774" s="309"/>
      <c r="M774" s="301"/>
      <c r="N774" s="176"/>
      <c r="O774" s="176"/>
      <c r="P774" s="176"/>
      <c r="Q774" s="179"/>
      <c r="S774" s="88"/>
      <c r="T774" s="88"/>
    </row>
    <row r="775" spans="1:20" ht="13.5" thickBot="1">
      <c r="A775" s="919"/>
      <c r="B775" s="34">
        <v>7</v>
      </c>
      <c r="C775" s="96"/>
      <c r="D775" s="34"/>
      <c r="E775" s="34"/>
      <c r="F775" s="200"/>
      <c r="G775" s="200"/>
      <c r="H775" s="200"/>
      <c r="I775" s="200"/>
      <c r="J775" s="309"/>
      <c r="K775" s="200"/>
      <c r="L775" s="311"/>
      <c r="M775" s="302"/>
      <c r="N775" s="303"/>
      <c r="O775" s="303"/>
      <c r="P775" s="303"/>
      <c r="Q775" s="304"/>
      <c r="S775" s="88"/>
      <c r="T775" s="88"/>
    </row>
    <row r="776" spans="1:20" ht="12.75">
      <c r="A776" s="1035" t="s">
        <v>12</v>
      </c>
      <c r="B776" s="39">
        <v>1</v>
      </c>
      <c r="C776" s="166" t="s">
        <v>736</v>
      </c>
      <c r="D776" s="167">
        <v>25</v>
      </c>
      <c r="E776" s="167">
        <v>1966</v>
      </c>
      <c r="F776" s="250">
        <f>G776+H776+I776</f>
        <v>44.3</v>
      </c>
      <c r="G776" s="250">
        <v>1.37</v>
      </c>
      <c r="H776" s="250">
        <v>0.29</v>
      </c>
      <c r="I776" s="250">
        <v>42.64</v>
      </c>
      <c r="J776" s="274">
        <v>1267.43</v>
      </c>
      <c r="K776" s="250">
        <f aca="true" t="shared" si="126" ref="K776:L779">I776</f>
        <v>42.64</v>
      </c>
      <c r="L776" s="391">
        <f t="shared" si="126"/>
        <v>1267.43</v>
      </c>
      <c r="M776" s="170">
        <f>K776/L776</f>
        <v>0.03364288363065416</v>
      </c>
      <c r="N776" s="168">
        <v>206.88</v>
      </c>
      <c r="O776" s="171">
        <f>M776*N776</f>
        <v>6.960039765509732</v>
      </c>
      <c r="P776" s="171">
        <f>M776*60*1000</f>
        <v>2018.5730178392496</v>
      </c>
      <c r="Q776" s="172">
        <f>P776*N776/1000</f>
        <v>417.6023859305839</v>
      </c>
      <c r="S776" s="88"/>
      <c r="T776" s="88"/>
    </row>
    <row r="777" spans="1:20" ht="12.75">
      <c r="A777" s="1036"/>
      <c r="B777" s="41">
        <v>2</v>
      </c>
      <c r="C777" s="169" t="s">
        <v>737</v>
      </c>
      <c r="D777" s="137">
        <v>9</v>
      </c>
      <c r="E777" s="137">
        <v>1961</v>
      </c>
      <c r="F777" s="218">
        <f>G777+H777+I777</f>
        <v>13.07</v>
      </c>
      <c r="G777" s="218">
        <v>0</v>
      </c>
      <c r="H777" s="218">
        <v>0</v>
      </c>
      <c r="I777" s="218">
        <v>13.07</v>
      </c>
      <c r="J777" s="275">
        <v>360.49</v>
      </c>
      <c r="K777" s="218">
        <f t="shared" si="126"/>
        <v>13.07</v>
      </c>
      <c r="L777" s="275">
        <f t="shared" si="126"/>
        <v>360.49</v>
      </c>
      <c r="M777" s="150">
        <f>K777/L777</f>
        <v>0.03625620682959305</v>
      </c>
      <c r="N777" s="151">
        <v>206.88</v>
      </c>
      <c r="O777" s="152">
        <f>M777*N777</f>
        <v>7.500684068906211</v>
      </c>
      <c r="P777" s="171">
        <f>M777*60*1000</f>
        <v>2175.372409775583</v>
      </c>
      <c r="Q777" s="153">
        <f>P777*N777/1000</f>
        <v>450.0410441343726</v>
      </c>
      <c r="S777" s="88"/>
      <c r="T777" s="88"/>
    </row>
    <row r="778" spans="1:20" ht="12.75">
      <c r="A778" s="1036"/>
      <c r="B778" s="41">
        <v>3</v>
      </c>
      <c r="C778" s="169" t="s">
        <v>738</v>
      </c>
      <c r="D778" s="137">
        <v>4</v>
      </c>
      <c r="E778" s="137">
        <v>1940</v>
      </c>
      <c r="F778" s="218">
        <f>G778+H778+I778</f>
        <v>5.98</v>
      </c>
      <c r="G778" s="218">
        <v>0</v>
      </c>
      <c r="H778" s="218">
        <v>0</v>
      </c>
      <c r="I778" s="218">
        <v>5.98</v>
      </c>
      <c r="J778" s="275">
        <v>161.63</v>
      </c>
      <c r="K778" s="218">
        <f t="shared" si="126"/>
        <v>5.98</v>
      </c>
      <c r="L778" s="275">
        <f t="shared" si="126"/>
        <v>161.63</v>
      </c>
      <c r="M778" s="150">
        <f>K778/L778</f>
        <v>0.036998082039225395</v>
      </c>
      <c r="N778" s="151">
        <v>206.88</v>
      </c>
      <c r="O778" s="152">
        <f>M778*N778</f>
        <v>7.654163212274949</v>
      </c>
      <c r="P778" s="171">
        <f>M778*60*1000</f>
        <v>2219.884922353524</v>
      </c>
      <c r="Q778" s="153">
        <f>P778*N778/1000</f>
        <v>459.249792736497</v>
      </c>
      <c r="S778" s="88"/>
      <c r="T778" s="88"/>
    </row>
    <row r="779" spans="1:20" ht="12.75">
      <c r="A779" s="1036"/>
      <c r="B779" s="41">
        <v>4</v>
      </c>
      <c r="C779" s="169" t="s">
        <v>739</v>
      </c>
      <c r="D779" s="137">
        <v>6</v>
      </c>
      <c r="E779" s="137">
        <v>1936</v>
      </c>
      <c r="F779" s="218">
        <f>G779+H779+I779</f>
        <v>10.366</v>
      </c>
      <c r="G779" s="218">
        <v>0.38</v>
      </c>
      <c r="H779" s="218">
        <v>0.06</v>
      </c>
      <c r="I779" s="218">
        <v>9.926</v>
      </c>
      <c r="J779" s="275">
        <v>266.57</v>
      </c>
      <c r="K779" s="218">
        <f t="shared" si="126"/>
        <v>9.926</v>
      </c>
      <c r="L779" s="275">
        <f t="shared" si="126"/>
        <v>266.57</v>
      </c>
      <c r="M779" s="150">
        <f>K779/L779</f>
        <v>0.03723599804929287</v>
      </c>
      <c r="N779" s="151">
        <v>206.88</v>
      </c>
      <c r="O779" s="152">
        <f>M779*N779</f>
        <v>7.703383276437708</v>
      </c>
      <c r="P779" s="171">
        <f>M779*60*1000</f>
        <v>2234.159882957572</v>
      </c>
      <c r="Q779" s="153">
        <f>P779*N779/1000</f>
        <v>462.2029965862625</v>
      </c>
      <c r="S779" s="88"/>
      <c r="T779" s="88"/>
    </row>
    <row r="780" spans="1:20" ht="12.75">
      <c r="A780" s="1036"/>
      <c r="B780" s="41">
        <v>5</v>
      </c>
      <c r="C780" s="108"/>
      <c r="D780" s="129"/>
      <c r="E780" s="129"/>
      <c r="F780" s="188"/>
      <c r="G780" s="42"/>
      <c r="H780" s="42"/>
      <c r="I780" s="42"/>
      <c r="J780" s="43"/>
      <c r="K780" s="608"/>
      <c r="L780" s="42"/>
      <c r="M780" s="66"/>
      <c r="N780" s="42"/>
      <c r="O780" s="42"/>
      <c r="P780" s="67"/>
      <c r="Q780" s="44"/>
      <c r="S780" s="88"/>
      <c r="T780" s="88"/>
    </row>
    <row r="781" spans="1:20" ht="12.75">
      <c r="A781" s="1036"/>
      <c r="B781" s="41">
        <v>6</v>
      </c>
      <c r="C781" s="108"/>
      <c r="D781" s="41"/>
      <c r="E781" s="41"/>
      <c r="F781" s="55"/>
      <c r="G781" s="55"/>
      <c r="H781" s="55"/>
      <c r="I781" s="55"/>
      <c r="J781" s="55"/>
      <c r="K781" s="42"/>
      <c r="L781" s="55"/>
      <c r="M781" s="68"/>
      <c r="N781" s="55"/>
      <c r="O781" s="69"/>
      <c r="P781" s="70"/>
      <c r="Q781" s="71"/>
      <c r="S781" s="88"/>
      <c r="T781" s="88"/>
    </row>
    <row r="782" spans="1:20" ht="13.5" thickBot="1">
      <c r="A782" s="1037"/>
      <c r="B782" s="45">
        <v>7</v>
      </c>
      <c r="C782" s="366"/>
      <c r="D782" s="45"/>
      <c r="E782" s="45"/>
      <c r="F782" s="56"/>
      <c r="G782" s="56"/>
      <c r="H782" s="56"/>
      <c r="I782" s="56"/>
      <c r="J782" s="56"/>
      <c r="K782" s="46"/>
      <c r="L782" s="56"/>
      <c r="M782" s="367"/>
      <c r="N782" s="56"/>
      <c r="O782" s="72"/>
      <c r="P782" s="368"/>
      <c r="Q782" s="246"/>
      <c r="S782" s="88"/>
      <c r="T782" s="88"/>
    </row>
    <row r="783" spans="19:20" ht="12.75">
      <c r="S783" s="88"/>
      <c r="T783" s="88"/>
    </row>
    <row r="784" spans="19:20" ht="12.75">
      <c r="S784" s="88"/>
      <c r="T784" s="88"/>
    </row>
    <row r="785" spans="19:20" ht="12.75">
      <c r="S785" s="88"/>
      <c r="T785" s="88"/>
    </row>
    <row r="786" spans="19:20" ht="12.75">
      <c r="S786" s="88"/>
      <c r="T786" s="88"/>
    </row>
    <row r="787" spans="19:20" ht="12.75">
      <c r="S787" s="88"/>
      <c r="T787" s="88"/>
    </row>
    <row r="788" spans="19:20" ht="12.75">
      <c r="S788" s="88"/>
      <c r="T788" s="88"/>
    </row>
    <row r="789" spans="1:20" ht="14.25" customHeight="1">
      <c r="A789" s="967" t="s">
        <v>955</v>
      </c>
      <c r="B789" s="967"/>
      <c r="C789" s="967"/>
      <c r="D789" s="967"/>
      <c r="E789" s="967"/>
      <c r="F789" s="967"/>
      <c r="G789" s="967"/>
      <c r="H789" s="967"/>
      <c r="I789" s="967"/>
      <c r="J789" s="967"/>
      <c r="K789" s="967"/>
      <c r="L789" s="967"/>
      <c r="M789" s="967"/>
      <c r="N789" s="967"/>
      <c r="O789" s="967"/>
      <c r="P789" s="967"/>
      <c r="Q789" s="967"/>
      <c r="S789" s="88"/>
      <c r="T789" s="88"/>
    </row>
    <row r="790" spans="1:20" ht="13.5" thickBot="1">
      <c r="A790" s="1074" t="s">
        <v>956</v>
      </c>
      <c r="B790" s="1074"/>
      <c r="C790" s="1074"/>
      <c r="D790" s="1074"/>
      <c r="E790" s="1074"/>
      <c r="F790" s="1074"/>
      <c r="G790" s="1074"/>
      <c r="H790" s="1074"/>
      <c r="I790" s="1074"/>
      <c r="J790" s="1074"/>
      <c r="K790" s="1074"/>
      <c r="L790" s="1074"/>
      <c r="M790" s="1074"/>
      <c r="N790" s="1074"/>
      <c r="O790" s="1074"/>
      <c r="P790" s="1074"/>
      <c r="Q790" s="1074"/>
      <c r="S790" s="88"/>
      <c r="T790" s="88"/>
    </row>
    <row r="791" spans="1:20" ht="12.75" customHeight="1">
      <c r="A791" s="952" t="s">
        <v>1</v>
      </c>
      <c r="B791" s="955" t="s">
        <v>0</v>
      </c>
      <c r="C791" s="944" t="s">
        <v>2</v>
      </c>
      <c r="D791" s="944" t="s">
        <v>3</v>
      </c>
      <c r="E791" s="944" t="s">
        <v>13</v>
      </c>
      <c r="F791" s="960" t="s">
        <v>14</v>
      </c>
      <c r="G791" s="961"/>
      <c r="H791" s="961"/>
      <c r="I791" s="962"/>
      <c r="J791" s="944" t="s">
        <v>4</v>
      </c>
      <c r="K791" s="944" t="s">
        <v>15</v>
      </c>
      <c r="L791" s="944" t="s">
        <v>5</v>
      </c>
      <c r="M791" s="944" t="s">
        <v>6</v>
      </c>
      <c r="N791" s="944" t="s">
        <v>16</v>
      </c>
      <c r="O791" s="944" t="s">
        <v>17</v>
      </c>
      <c r="P791" s="1026" t="s">
        <v>25</v>
      </c>
      <c r="Q791" s="929" t="s">
        <v>26</v>
      </c>
      <c r="S791" s="88"/>
      <c r="T791" s="88"/>
    </row>
    <row r="792" spans="1:20" s="2" customFormat="1" ht="33.75">
      <c r="A792" s="953"/>
      <c r="B792" s="956"/>
      <c r="C792" s="958"/>
      <c r="D792" s="945"/>
      <c r="E792" s="945"/>
      <c r="F792" s="37" t="s">
        <v>18</v>
      </c>
      <c r="G792" s="37" t="s">
        <v>19</v>
      </c>
      <c r="H792" s="37" t="s">
        <v>20</v>
      </c>
      <c r="I792" s="37" t="s">
        <v>21</v>
      </c>
      <c r="J792" s="945"/>
      <c r="K792" s="945"/>
      <c r="L792" s="945"/>
      <c r="M792" s="945"/>
      <c r="N792" s="945"/>
      <c r="O792" s="945"/>
      <c r="P792" s="1027"/>
      <c r="Q792" s="930"/>
      <c r="S792" s="88"/>
      <c r="T792" s="88"/>
    </row>
    <row r="793" spans="1:20" s="3" customFormat="1" ht="13.5" customHeight="1" thickBot="1">
      <c r="A793" s="953"/>
      <c r="B793" s="956"/>
      <c r="C793" s="959"/>
      <c r="D793" s="58" t="s">
        <v>7</v>
      </c>
      <c r="E793" s="58" t="s">
        <v>8</v>
      </c>
      <c r="F793" s="58" t="s">
        <v>9</v>
      </c>
      <c r="G793" s="58" t="s">
        <v>9</v>
      </c>
      <c r="H793" s="58" t="s">
        <v>9</v>
      </c>
      <c r="I793" s="58" t="s">
        <v>9</v>
      </c>
      <c r="J793" s="58" t="s">
        <v>22</v>
      </c>
      <c r="K793" s="58" t="s">
        <v>9</v>
      </c>
      <c r="L793" s="58" t="s">
        <v>22</v>
      </c>
      <c r="M793" s="58" t="s">
        <v>23</v>
      </c>
      <c r="N793" s="58" t="s">
        <v>10</v>
      </c>
      <c r="O793" s="58" t="s">
        <v>24</v>
      </c>
      <c r="P793" s="59" t="s">
        <v>27</v>
      </c>
      <c r="Q793" s="60" t="s">
        <v>28</v>
      </c>
      <c r="S793" s="88"/>
      <c r="T793" s="88"/>
    </row>
    <row r="794" spans="1:20" s="92" customFormat="1" ht="12.75" customHeight="1">
      <c r="A794" s="1023" t="s">
        <v>11</v>
      </c>
      <c r="B794" s="99">
        <v>1</v>
      </c>
      <c r="C794" s="202"/>
      <c r="D794" s="159"/>
      <c r="E794" s="159"/>
      <c r="F794" s="253"/>
      <c r="G794" s="253"/>
      <c r="H794" s="253"/>
      <c r="I794" s="253"/>
      <c r="J794" s="454"/>
      <c r="K794" s="253"/>
      <c r="L794" s="270"/>
      <c r="M794" s="173"/>
      <c r="N794" s="160"/>
      <c r="O794" s="164"/>
      <c r="P794" s="164"/>
      <c r="Q794" s="203"/>
      <c r="S794" s="88"/>
      <c r="T794" s="88"/>
    </row>
    <row r="795" spans="1:20" s="92" customFormat="1" ht="12.75" customHeight="1">
      <c r="A795" s="1024"/>
      <c r="B795" s="91">
        <v>2</v>
      </c>
      <c r="C795" s="158"/>
      <c r="D795" s="132"/>
      <c r="E795" s="132"/>
      <c r="F795" s="248"/>
      <c r="G795" s="248"/>
      <c r="H795" s="248"/>
      <c r="I795" s="248"/>
      <c r="J795" s="204"/>
      <c r="K795" s="248"/>
      <c r="L795" s="271"/>
      <c r="M795" s="141"/>
      <c r="N795" s="160"/>
      <c r="O795" s="143"/>
      <c r="P795" s="164"/>
      <c r="Q795" s="144"/>
      <c r="S795" s="88"/>
      <c r="T795" s="88"/>
    </row>
    <row r="796" spans="1:20" s="92" customFormat="1" ht="12.75">
      <c r="A796" s="1024"/>
      <c r="B796" s="91">
        <v>3</v>
      </c>
      <c r="C796" s="158"/>
      <c r="D796" s="132"/>
      <c r="E796" s="132"/>
      <c r="F796" s="248"/>
      <c r="G796" s="248"/>
      <c r="H796" s="248"/>
      <c r="I796" s="248"/>
      <c r="J796" s="204"/>
      <c r="K796" s="248"/>
      <c r="L796" s="271"/>
      <c r="M796" s="141"/>
      <c r="N796" s="160"/>
      <c r="O796" s="143"/>
      <c r="P796" s="164"/>
      <c r="Q796" s="144"/>
      <c r="S796" s="88"/>
      <c r="T796" s="88"/>
    </row>
    <row r="797" spans="1:20" s="92" customFormat="1" ht="12.75">
      <c r="A797" s="1024"/>
      <c r="B797" s="91">
        <v>4</v>
      </c>
      <c r="C797" s="158"/>
      <c r="D797" s="132"/>
      <c r="E797" s="132"/>
      <c r="F797" s="248"/>
      <c r="G797" s="248"/>
      <c r="H797" s="248"/>
      <c r="I797" s="248"/>
      <c r="J797" s="204"/>
      <c r="K797" s="248"/>
      <c r="L797" s="271"/>
      <c r="M797" s="141"/>
      <c r="N797" s="160"/>
      <c r="O797" s="143"/>
      <c r="P797" s="164"/>
      <c r="Q797" s="144"/>
      <c r="S797" s="88"/>
      <c r="T797" s="88"/>
    </row>
    <row r="798" spans="1:20" s="92" customFormat="1" ht="12.75">
      <c r="A798" s="1024"/>
      <c r="B798" s="91">
        <v>5</v>
      </c>
      <c r="C798" s="158"/>
      <c r="D798" s="132"/>
      <c r="E798" s="132"/>
      <c r="F798" s="248"/>
      <c r="G798" s="248"/>
      <c r="H798" s="248"/>
      <c r="I798" s="248"/>
      <c r="J798" s="204"/>
      <c r="K798" s="248"/>
      <c r="L798" s="271"/>
      <c r="M798" s="141"/>
      <c r="N798" s="160"/>
      <c r="O798" s="143"/>
      <c r="P798" s="164"/>
      <c r="Q798" s="144"/>
      <c r="S798" s="88"/>
      <c r="T798" s="88"/>
    </row>
    <row r="799" spans="1:20" s="92" customFormat="1" ht="13.5" thickBot="1">
      <c r="A799" s="1024"/>
      <c r="B799" s="91">
        <v>6</v>
      </c>
      <c r="C799" s="158"/>
      <c r="D799" s="132"/>
      <c r="E799" s="132"/>
      <c r="F799" s="249"/>
      <c r="G799" s="248"/>
      <c r="H799" s="248"/>
      <c r="I799" s="248"/>
      <c r="J799" s="204"/>
      <c r="K799" s="248"/>
      <c r="L799" s="271"/>
      <c r="M799" s="141"/>
      <c r="N799" s="160"/>
      <c r="O799" s="273"/>
      <c r="P799" s="175"/>
      <c r="Q799" s="165"/>
      <c r="S799" s="88"/>
      <c r="T799" s="88"/>
    </row>
    <row r="800" spans="1:20" ht="12.75">
      <c r="A800" s="1019" t="s">
        <v>29</v>
      </c>
      <c r="B800" s="752">
        <v>1</v>
      </c>
      <c r="C800" s="775" t="s">
        <v>957</v>
      </c>
      <c r="D800" s="776">
        <v>40</v>
      </c>
      <c r="E800" s="776">
        <v>1980</v>
      </c>
      <c r="F800" s="777">
        <v>43.6</v>
      </c>
      <c r="G800" s="778">
        <v>3.5</v>
      </c>
      <c r="H800" s="778">
        <v>6.4</v>
      </c>
      <c r="I800" s="778">
        <v>33.7</v>
      </c>
      <c r="J800" s="779">
        <v>2313.6</v>
      </c>
      <c r="K800" s="778">
        <v>33.7</v>
      </c>
      <c r="L800" s="779">
        <v>2313.6</v>
      </c>
      <c r="M800" s="780">
        <v>0.014566044260027665</v>
      </c>
      <c r="N800" s="781">
        <v>227.3</v>
      </c>
      <c r="O800" s="782">
        <v>3.3108618603042883</v>
      </c>
      <c r="P800" s="783">
        <f aca="true" t="shared" si="127" ref="P800:P807">M800*60*1000</f>
        <v>873.9626556016599</v>
      </c>
      <c r="Q800" s="784">
        <v>198.6517116182573</v>
      </c>
      <c r="S800" s="88"/>
      <c r="T800" s="88"/>
    </row>
    <row r="801" spans="1:20" ht="12.75">
      <c r="A801" s="1020"/>
      <c r="B801" s="725">
        <v>2</v>
      </c>
      <c r="C801" s="785" t="s">
        <v>958</v>
      </c>
      <c r="D801" s="786">
        <v>40</v>
      </c>
      <c r="E801" s="786">
        <v>1998</v>
      </c>
      <c r="F801" s="787">
        <v>42.2</v>
      </c>
      <c r="G801" s="787">
        <v>2.8</v>
      </c>
      <c r="H801" s="787">
        <v>6.4</v>
      </c>
      <c r="I801" s="787">
        <v>33</v>
      </c>
      <c r="J801" s="788">
        <v>2183.72</v>
      </c>
      <c r="K801" s="787">
        <v>32.2</v>
      </c>
      <c r="L801" s="788">
        <v>2133.76</v>
      </c>
      <c r="M801" s="789">
        <v>0.015090731853629274</v>
      </c>
      <c r="N801" s="790">
        <v>227.3</v>
      </c>
      <c r="O801" s="790">
        <v>3.4301233503299344</v>
      </c>
      <c r="P801" s="790">
        <f t="shared" si="127"/>
        <v>905.4439112177565</v>
      </c>
      <c r="Q801" s="784">
        <v>205.80740101979606</v>
      </c>
      <c r="S801" s="88"/>
      <c r="T801" s="88"/>
    </row>
    <row r="802" spans="1:20" ht="12.75">
      <c r="A802" s="1020"/>
      <c r="B802" s="725">
        <v>3</v>
      </c>
      <c r="C802" s="785" t="s">
        <v>959</v>
      </c>
      <c r="D802" s="786">
        <v>40</v>
      </c>
      <c r="E802" s="786">
        <v>1986</v>
      </c>
      <c r="F802" s="787">
        <v>45.2</v>
      </c>
      <c r="G802" s="787">
        <v>4.8</v>
      </c>
      <c r="H802" s="787">
        <v>6.4</v>
      </c>
      <c r="I802" s="787">
        <v>34</v>
      </c>
      <c r="J802" s="788">
        <v>2246.36</v>
      </c>
      <c r="K802" s="787">
        <v>34</v>
      </c>
      <c r="L802" s="788">
        <v>2246.4</v>
      </c>
      <c r="M802" s="789">
        <v>0.015135327635327635</v>
      </c>
      <c r="N802" s="790">
        <v>227.3</v>
      </c>
      <c r="O802" s="790">
        <v>3.4402599715099718</v>
      </c>
      <c r="P802" s="790">
        <f t="shared" si="127"/>
        <v>908.1196581196581</v>
      </c>
      <c r="Q802" s="784">
        <v>206.4155982905983</v>
      </c>
      <c r="S802" s="88"/>
      <c r="T802" s="88"/>
    </row>
    <row r="803" spans="1:20" ht="12.75">
      <c r="A803" s="1020"/>
      <c r="B803" s="725">
        <v>4</v>
      </c>
      <c r="C803" s="785" t="s">
        <v>960</v>
      </c>
      <c r="D803" s="786">
        <v>16</v>
      </c>
      <c r="E803" s="786">
        <v>1991</v>
      </c>
      <c r="F803" s="787">
        <v>22.252</v>
      </c>
      <c r="G803" s="787">
        <v>2.9</v>
      </c>
      <c r="H803" s="787">
        <v>2.6</v>
      </c>
      <c r="I803" s="787">
        <v>16.752</v>
      </c>
      <c r="J803" s="788">
        <v>1070.04</v>
      </c>
      <c r="K803" s="787">
        <v>16.8</v>
      </c>
      <c r="L803" s="788">
        <v>1070.04</v>
      </c>
      <c r="M803" s="789">
        <v>0.01570034765055512</v>
      </c>
      <c r="N803" s="790">
        <v>227.3</v>
      </c>
      <c r="O803" s="790">
        <v>3.568689020971179</v>
      </c>
      <c r="P803" s="790">
        <f t="shared" si="127"/>
        <v>942.0208590333073</v>
      </c>
      <c r="Q803" s="784">
        <v>214.12134125827075</v>
      </c>
      <c r="S803" s="88"/>
      <c r="T803" s="88"/>
    </row>
    <row r="804" spans="1:20" ht="12.75">
      <c r="A804" s="1020"/>
      <c r="B804" s="725">
        <v>5</v>
      </c>
      <c r="C804" s="785" t="s">
        <v>961</v>
      </c>
      <c r="D804" s="786">
        <v>39</v>
      </c>
      <c r="E804" s="786">
        <v>1992</v>
      </c>
      <c r="F804" s="787">
        <v>54.5</v>
      </c>
      <c r="G804" s="787">
        <v>6.5</v>
      </c>
      <c r="H804" s="787">
        <v>6.2</v>
      </c>
      <c r="I804" s="787">
        <v>41.8</v>
      </c>
      <c r="J804" s="788">
        <v>2279.7</v>
      </c>
      <c r="K804" s="787">
        <v>41.8</v>
      </c>
      <c r="L804" s="788">
        <v>2279.7</v>
      </c>
      <c r="M804" s="789">
        <v>0.01833574593148221</v>
      </c>
      <c r="N804" s="790">
        <v>227.3</v>
      </c>
      <c r="O804" s="790">
        <v>4.167715050225907</v>
      </c>
      <c r="P804" s="790">
        <f t="shared" si="127"/>
        <v>1100.1447558889327</v>
      </c>
      <c r="Q804" s="784">
        <v>250.06290301355443</v>
      </c>
      <c r="S804" s="88"/>
      <c r="T804" s="88"/>
    </row>
    <row r="805" spans="1:20" ht="12.75">
      <c r="A805" s="1020"/>
      <c r="B805" s="725">
        <v>6</v>
      </c>
      <c r="C805" s="785" t="s">
        <v>962</v>
      </c>
      <c r="D805" s="786">
        <v>20</v>
      </c>
      <c r="E805" s="786">
        <v>1997</v>
      </c>
      <c r="F805" s="787">
        <v>28</v>
      </c>
      <c r="G805" s="787">
        <v>2</v>
      </c>
      <c r="H805" s="787">
        <v>3.2</v>
      </c>
      <c r="I805" s="787">
        <v>22.8</v>
      </c>
      <c r="J805" s="788">
        <v>1186.4</v>
      </c>
      <c r="K805" s="787">
        <v>22.8</v>
      </c>
      <c r="L805" s="788">
        <v>1186.4</v>
      </c>
      <c r="M805" s="789">
        <v>0.019217801753202965</v>
      </c>
      <c r="N805" s="790">
        <v>227.3</v>
      </c>
      <c r="O805" s="790">
        <v>4.368206338503034</v>
      </c>
      <c r="P805" s="790">
        <f t="shared" si="127"/>
        <v>1153.0681051921779</v>
      </c>
      <c r="Q805" s="784">
        <v>262.0923803101821</v>
      </c>
      <c r="S805" s="88"/>
      <c r="T805" s="88"/>
    </row>
    <row r="806" spans="1:20" ht="12.75">
      <c r="A806" s="1020"/>
      <c r="B806" s="725">
        <v>7</v>
      </c>
      <c r="C806" s="785" t="s">
        <v>963</v>
      </c>
      <c r="D806" s="786">
        <v>28</v>
      </c>
      <c r="E806" s="786">
        <v>1998</v>
      </c>
      <c r="F806" s="787">
        <v>34.7</v>
      </c>
      <c r="G806" s="787">
        <v>1.7</v>
      </c>
      <c r="H806" s="787">
        <v>4.4</v>
      </c>
      <c r="I806" s="787">
        <v>28.6</v>
      </c>
      <c r="J806" s="788">
        <v>1228.24</v>
      </c>
      <c r="K806" s="787">
        <v>28.6</v>
      </c>
      <c r="L806" s="788">
        <v>1228.2</v>
      </c>
      <c r="M806" s="789">
        <v>0.02328610975411171</v>
      </c>
      <c r="N806" s="790">
        <v>227.3</v>
      </c>
      <c r="O806" s="790">
        <v>5.2929327471095915</v>
      </c>
      <c r="P806" s="790">
        <f t="shared" si="127"/>
        <v>1397.1665852467027</v>
      </c>
      <c r="Q806" s="784">
        <v>317.5759648265755</v>
      </c>
      <c r="S806" s="88"/>
      <c r="T806" s="88"/>
    </row>
    <row r="807" spans="1:20" ht="12.75">
      <c r="A807" s="1020"/>
      <c r="B807" s="725">
        <v>8</v>
      </c>
      <c r="C807" s="785" t="s">
        <v>964</v>
      </c>
      <c r="D807" s="786">
        <v>35</v>
      </c>
      <c r="E807" s="786">
        <v>1993</v>
      </c>
      <c r="F807" s="787">
        <v>61.5</v>
      </c>
      <c r="G807" s="787">
        <v>2.7</v>
      </c>
      <c r="H807" s="787">
        <v>5.6</v>
      </c>
      <c r="I807" s="787">
        <v>53.2</v>
      </c>
      <c r="J807" s="788">
        <v>2275.2</v>
      </c>
      <c r="K807" s="787">
        <v>53.2</v>
      </c>
      <c r="L807" s="788">
        <v>2275.2</v>
      </c>
      <c r="M807" s="789">
        <v>0.023382559774964843</v>
      </c>
      <c r="N807" s="790">
        <v>227.3</v>
      </c>
      <c r="O807" s="790">
        <v>5.314855836849509</v>
      </c>
      <c r="P807" s="790">
        <f t="shared" si="127"/>
        <v>1402.9535864978907</v>
      </c>
      <c r="Q807" s="784">
        <v>318.8913502109706</v>
      </c>
      <c r="S807" s="88"/>
      <c r="T807" s="88"/>
    </row>
    <row r="808" spans="1:20" ht="12.75">
      <c r="A808" s="1020"/>
      <c r="B808" s="725">
        <v>9</v>
      </c>
      <c r="C808" s="791"/>
      <c r="D808" s="792"/>
      <c r="E808" s="792"/>
      <c r="F808" s="744"/>
      <c r="G808" s="744"/>
      <c r="H808" s="744"/>
      <c r="I808" s="744"/>
      <c r="J808" s="793"/>
      <c r="K808" s="744"/>
      <c r="L808" s="793"/>
      <c r="M808" s="714"/>
      <c r="N808" s="715"/>
      <c r="O808" s="716"/>
      <c r="P808" s="716"/>
      <c r="Q808" s="722"/>
      <c r="S808" s="88"/>
      <c r="T808" s="88"/>
    </row>
    <row r="809" spans="1:20" ht="13.5" customHeight="1" thickBot="1">
      <c r="A809" s="1021"/>
      <c r="B809" s="736">
        <v>10</v>
      </c>
      <c r="C809" s="794"/>
      <c r="D809" s="746"/>
      <c r="E809" s="746"/>
      <c r="F809" s="747"/>
      <c r="G809" s="747"/>
      <c r="H809" s="747"/>
      <c r="I809" s="747"/>
      <c r="J809" s="748"/>
      <c r="K809" s="711"/>
      <c r="L809" s="748"/>
      <c r="M809" s="749"/>
      <c r="N809" s="757"/>
      <c r="O809" s="750"/>
      <c r="P809" s="750"/>
      <c r="Q809" s="751"/>
      <c r="S809" s="88"/>
      <c r="T809" s="88"/>
    </row>
    <row r="810" spans="1:20" ht="13.5" customHeight="1">
      <c r="A810" s="1002" t="s">
        <v>30</v>
      </c>
      <c r="B810" s="32">
        <v>1</v>
      </c>
      <c r="C810" s="631" t="s">
        <v>965</v>
      </c>
      <c r="D810" s="544">
        <v>40</v>
      </c>
      <c r="E810" s="544">
        <v>1980</v>
      </c>
      <c r="F810" s="620">
        <v>59.2</v>
      </c>
      <c r="G810" s="621">
        <v>3.6</v>
      </c>
      <c r="H810" s="621">
        <v>6.4</v>
      </c>
      <c r="I810" s="621">
        <v>49.2</v>
      </c>
      <c r="J810" s="627">
        <v>2208.76</v>
      </c>
      <c r="K810" s="621">
        <v>49.2</v>
      </c>
      <c r="L810" s="627">
        <v>2208.8</v>
      </c>
      <c r="M810" s="609">
        <v>0.022274538210793192</v>
      </c>
      <c r="N810" s="610">
        <v>227.3</v>
      </c>
      <c r="O810" s="610">
        <v>5.063002535313292</v>
      </c>
      <c r="P810" s="545">
        <f aca="true" t="shared" si="128" ref="P810:P817">M810*60*1000</f>
        <v>1336.4722926475915</v>
      </c>
      <c r="Q810" s="611">
        <v>303.78015211879756</v>
      </c>
      <c r="S810" s="88"/>
      <c r="T810" s="88"/>
    </row>
    <row r="811" spans="1:20" ht="12.75">
      <c r="A811" s="1003"/>
      <c r="B811" s="34">
        <v>2</v>
      </c>
      <c r="C811" s="632" t="s">
        <v>966</v>
      </c>
      <c r="D811" s="546">
        <v>50</v>
      </c>
      <c r="E811" s="546">
        <v>1973</v>
      </c>
      <c r="F811" s="620">
        <v>66.4</v>
      </c>
      <c r="G811" s="622">
        <v>2.4</v>
      </c>
      <c r="H811" s="622">
        <v>7.8</v>
      </c>
      <c r="I811" s="622">
        <v>56.2</v>
      </c>
      <c r="J811" s="628">
        <v>2510.26</v>
      </c>
      <c r="K811" s="622">
        <v>56.2</v>
      </c>
      <c r="L811" s="628">
        <v>2510.3</v>
      </c>
      <c r="M811" s="612">
        <v>0.022387762418834403</v>
      </c>
      <c r="N811" s="610">
        <v>227.3</v>
      </c>
      <c r="O811" s="610">
        <v>5.08873839780106</v>
      </c>
      <c r="P811" s="547">
        <f t="shared" si="128"/>
        <v>1343.2657451300643</v>
      </c>
      <c r="Q811" s="611">
        <v>305.32430386806357</v>
      </c>
      <c r="S811" s="88"/>
      <c r="T811" s="88"/>
    </row>
    <row r="812" spans="1:20" ht="12.75">
      <c r="A812" s="1003"/>
      <c r="B812" s="34">
        <v>3</v>
      </c>
      <c r="C812" s="632" t="s">
        <v>967</v>
      </c>
      <c r="D812" s="546">
        <v>50</v>
      </c>
      <c r="E812" s="546">
        <v>1978</v>
      </c>
      <c r="F812" s="620">
        <v>71.6</v>
      </c>
      <c r="G812" s="622">
        <v>4.8</v>
      </c>
      <c r="H812" s="622">
        <v>8</v>
      </c>
      <c r="I812" s="622">
        <v>58.8</v>
      </c>
      <c r="J812" s="628">
        <v>2609.15</v>
      </c>
      <c r="K812" s="622">
        <v>58.8</v>
      </c>
      <c r="L812" s="628">
        <v>2609.1</v>
      </c>
      <c r="M812" s="612">
        <v>0.022536506841439576</v>
      </c>
      <c r="N812" s="610">
        <v>227.3</v>
      </c>
      <c r="O812" s="610">
        <v>5.122548005059215</v>
      </c>
      <c r="P812" s="547">
        <f t="shared" si="128"/>
        <v>1352.1904104863745</v>
      </c>
      <c r="Q812" s="611">
        <v>307.3528803035529</v>
      </c>
      <c r="S812" s="88"/>
      <c r="T812" s="88"/>
    </row>
    <row r="813" spans="1:20" ht="12.75">
      <c r="A813" s="1003"/>
      <c r="B813" s="34">
        <v>4</v>
      </c>
      <c r="C813" s="632" t="s">
        <v>968</v>
      </c>
      <c r="D813" s="546">
        <v>10</v>
      </c>
      <c r="E813" s="546">
        <v>1968</v>
      </c>
      <c r="F813" s="620">
        <v>18.3</v>
      </c>
      <c r="G813" s="622">
        <v>0.9</v>
      </c>
      <c r="H813" s="622">
        <v>1.6</v>
      </c>
      <c r="I813" s="622">
        <v>15.8</v>
      </c>
      <c r="J813" s="628">
        <v>662.08</v>
      </c>
      <c r="K813" s="622">
        <v>15.8</v>
      </c>
      <c r="L813" s="628">
        <v>665.81</v>
      </c>
      <c r="M813" s="612">
        <v>0.023730493684384436</v>
      </c>
      <c r="N813" s="610">
        <v>227.3</v>
      </c>
      <c r="O813" s="610">
        <v>5.3939412144605825</v>
      </c>
      <c r="P813" s="547">
        <f t="shared" si="128"/>
        <v>1423.829621063066</v>
      </c>
      <c r="Q813" s="611">
        <v>323.63647286763495</v>
      </c>
      <c r="S813" s="88"/>
      <c r="T813" s="88"/>
    </row>
    <row r="814" spans="1:20" ht="12.75">
      <c r="A814" s="1003"/>
      <c r="B814" s="34">
        <v>5</v>
      </c>
      <c r="C814" s="632" t="s">
        <v>969</v>
      </c>
      <c r="D814" s="546">
        <v>50</v>
      </c>
      <c r="E814" s="546">
        <v>1969</v>
      </c>
      <c r="F814" s="620">
        <v>72.9</v>
      </c>
      <c r="G814" s="622">
        <v>3.3</v>
      </c>
      <c r="H814" s="622">
        <v>7.9</v>
      </c>
      <c r="I814" s="622">
        <v>61.7</v>
      </c>
      <c r="J814" s="628">
        <v>2573.06</v>
      </c>
      <c r="K814" s="622">
        <v>61.7</v>
      </c>
      <c r="L814" s="628">
        <v>2573.1</v>
      </c>
      <c r="M814" s="612">
        <v>0.023978858186623143</v>
      </c>
      <c r="N814" s="610">
        <v>227.3</v>
      </c>
      <c r="O814" s="610">
        <v>5.450394465819441</v>
      </c>
      <c r="P814" s="547">
        <f t="shared" si="128"/>
        <v>1438.7314911973886</v>
      </c>
      <c r="Q814" s="611">
        <v>327.02366794916645</v>
      </c>
      <c r="S814" s="88"/>
      <c r="T814" s="88"/>
    </row>
    <row r="815" spans="1:20" ht="12.75">
      <c r="A815" s="1003"/>
      <c r="B815" s="34">
        <v>6</v>
      </c>
      <c r="C815" s="632" t="s">
        <v>970</v>
      </c>
      <c r="D815" s="546">
        <v>40</v>
      </c>
      <c r="E815" s="546">
        <v>1975</v>
      </c>
      <c r="F815" s="620">
        <v>64.3</v>
      </c>
      <c r="G815" s="622">
        <v>2.4</v>
      </c>
      <c r="H815" s="622">
        <v>6.4</v>
      </c>
      <c r="I815" s="622">
        <v>55.5</v>
      </c>
      <c r="J815" s="628">
        <v>2260.93</v>
      </c>
      <c r="K815" s="622">
        <v>55.5</v>
      </c>
      <c r="L815" s="628">
        <v>2260.9</v>
      </c>
      <c r="M815" s="612">
        <v>0.024547746472643635</v>
      </c>
      <c r="N815" s="610">
        <v>227.3</v>
      </c>
      <c r="O815" s="610">
        <v>5.579702773231898</v>
      </c>
      <c r="P815" s="547">
        <f t="shared" si="128"/>
        <v>1472.8647883586182</v>
      </c>
      <c r="Q815" s="611">
        <v>334.7821663939139</v>
      </c>
      <c r="S815" s="88"/>
      <c r="T815" s="88"/>
    </row>
    <row r="816" spans="1:20" ht="12.75">
      <c r="A816" s="1003"/>
      <c r="B816" s="34">
        <v>7</v>
      </c>
      <c r="C816" s="632" t="s">
        <v>971</v>
      </c>
      <c r="D816" s="546">
        <v>20</v>
      </c>
      <c r="E816" s="546">
        <v>1979</v>
      </c>
      <c r="F816" s="620">
        <v>31.9</v>
      </c>
      <c r="G816" s="622">
        <v>1.4</v>
      </c>
      <c r="H816" s="622">
        <v>3.1</v>
      </c>
      <c r="I816" s="622">
        <v>27.4</v>
      </c>
      <c r="J816" s="628">
        <v>1073.91</v>
      </c>
      <c r="K816" s="622">
        <v>27.4</v>
      </c>
      <c r="L816" s="628">
        <v>1073.9</v>
      </c>
      <c r="M816" s="612">
        <v>0.025514479932954647</v>
      </c>
      <c r="N816" s="610">
        <v>227.3</v>
      </c>
      <c r="O816" s="610">
        <v>5.799441288760591</v>
      </c>
      <c r="P816" s="547">
        <f t="shared" si="128"/>
        <v>1530.868795977279</v>
      </c>
      <c r="Q816" s="611">
        <v>347.9664773256355</v>
      </c>
      <c r="S816" s="88"/>
      <c r="T816" s="88"/>
    </row>
    <row r="817" spans="1:20" ht="12.75">
      <c r="A817" s="1003"/>
      <c r="B817" s="34">
        <v>8</v>
      </c>
      <c r="C817" s="632" t="s">
        <v>972</v>
      </c>
      <c r="D817" s="546">
        <v>28</v>
      </c>
      <c r="E817" s="546">
        <v>1969</v>
      </c>
      <c r="F817" s="620">
        <v>28.3</v>
      </c>
      <c r="G817" s="622">
        <v>1.8</v>
      </c>
      <c r="H817" s="622">
        <v>0.3</v>
      </c>
      <c r="I817" s="622">
        <v>26.2</v>
      </c>
      <c r="J817" s="628">
        <v>912.09</v>
      </c>
      <c r="K817" s="622">
        <v>26.2</v>
      </c>
      <c r="L817" s="628">
        <v>917.1</v>
      </c>
      <c r="M817" s="609">
        <v>0.02856831316105114</v>
      </c>
      <c r="N817" s="610">
        <v>227.3</v>
      </c>
      <c r="O817" s="610">
        <v>6.4935775815069245</v>
      </c>
      <c r="P817" s="547">
        <f t="shared" si="128"/>
        <v>1714.0987896630684</v>
      </c>
      <c r="Q817" s="611">
        <v>389.61465489041547</v>
      </c>
      <c r="S817" s="88"/>
      <c r="T817" s="88"/>
    </row>
    <row r="818" spans="1:20" ht="12.75">
      <c r="A818" s="1003"/>
      <c r="B818" s="34">
        <v>9</v>
      </c>
      <c r="C818" s="224"/>
      <c r="D818" s="135"/>
      <c r="E818" s="135"/>
      <c r="F818" s="222"/>
      <c r="G818" s="222"/>
      <c r="H818" s="222"/>
      <c r="I818" s="222"/>
      <c r="J818" s="277"/>
      <c r="K818" s="222"/>
      <c r="L818" s="277"/>
      <c r="M818" s="146"/>
      <c r="N818" s="220"/>
      <c r="O818" s="148"/>
      <c r="P818" s="208"/>
      <c r="Q818" s="149"/>
      <c r="S818" s="88"/>
      <c r="T818" s="88"/>
    </row>
    <row r="819" spans="1:20" ht="13.5" thickBot="1">
      <c r="A819" s="1004"/>
      <c r="B819" s="36">
        <v>10</v>
      </c>
      <c r="C819" s="372"/>
      <c r="D819" s="136"/>
      <c r="E819" s="136"/>
      <c r="F819" s="312"/>
      <c r="G819" s="312"/>
      <c r="H819" s="312"/>
      <c r="I819" s="312"/>
      <c r="J819" s="278"/>
      <c r="K819" s="312"/>
      <c r="L819" s="278"/>
      <c r="M819" s="211"/>
      <c r="N819" s="221"/>
      <c r="O819" s="212"/>
      <c r="P819" s="212"/>
      <c r="Q819" s="213"/>
      <c r="S819" s="88"/>
      <c r="T819" s="88"/>
    </row>
    <row r="820" spans="1:20" ht="12.75" customHeight="1">
      <c r="A820" s="946" t="s">
        <v>12</v>
      </c>
      <c r="B820" s="683">
        <v>1</v>
      </c>
      <c r="C820" s="633" t="s">
        <v>973</v>
      </c>
      <c r="D820" s="541">
        <v>12</v>
      </c>
      <c r="E820" s="541">
        <v>1962</v>
      </c>
      <c r="F820" s="623">
        <v>18.7</v>
      </c>
      <c r="G820" s="624">
        <v>0.4</v>
      </c>
      <c r="H820" s="624">
        <v>1.8</v>
      </c>
      <c r="I820" s="624">
        <v>16.5</v>
      </c>
      <c r="J820" s="629">
        <v>538</v>
      </c>
      <c r="K820" s="624">
        <v>13.8</v>
      </c>
      <c r="L820" s="629">
        <v>451.7</v>
      </c>
      <c r="M820" s="613">
        <v>0.030551250830197035</v>
      </c>
      <c r="N820" s="614">
        <v>227.3</v>
      </c>
      <c r="O820" s="614">
        <v>6.9442993137037865</v>
      </c>
      <c r="P820" s="685">
        <f aca="true" t="shared" si="129" ref="P820:P827">M820*60*1000</f>
        <v>1833.075049811822</v>
      </c>
      <c r="Q820" s="615">
        <v>416.6579588222272</v>
      </c>
      <c r="S820" s="88"/>
      <c r="T820" s="88"/>
    </row>
    <row r="821" spans="1:20" ht="12.75">
      <c r="A821" s="947"/>
      <c r="B821" s="684">
        <v>2</v>
      </c>
      <c r="C821" s="634" t="s">
        <v>974</v>
      </c>
      <c r="D821" s="542">
        <v>34</v>
      </c>
      <c r="E821" s="542">
        <v>1964</v>
      </c>
      <c r="F821" s="625">
        <v>36.7</v>
      </c>
      <c r="G821" s="625">
        <v>1.3</v>
      </c>
      <c r="H821" s="625">
        <v>0.2</v>
      </c>
      <c r="I821" s="625">
        <v>35.2</v>
      </c>
      <c r="J821" s="630">
        <v>1101.75</v>
      </c>
      <c r="K821" s="625">
        <v>35.2</v>
      </c>
      <c r="L821" s="630">
        <v>1101.8</v>
      </c>
      <c r="M821" s="616">
        <v>0.031947721909602475</v>
      </c>
      <c r="N821" s="617">
        <v>227.3</v>
      </c>
      <c r="O821" s="617">
        <v>7.261717190052643</v>
      </c>
      <c r="P821" s="686">
        <f t="shared" si="129"/>
        <v>1916.8633145761485</v>
      </c>
      <c r="Q821" s="615">
        <v>435.70303140315855</v>
      </c>
      <c r="S821" s="88"/>
      <c r="T821" s="88"/>
    </row>
    <row r="822" spans="1:20" ht="12.75">
      <c r="A822" s="947"/>
      <c r="B822" s="684">
        <v>3</v>
      </c>
      <c r="C822" s="634" t="s">
        <v>975</v>
      </c>
      <c r="D822" s="542">
        <v>9</v>
      </c>
      <c r="E822" s="542" t="s">
        <v>976</v>
      </c>
      <c r="F822" s="625">
        <v>8.4</v>
      </c>
      <c r="G822" s="625">
        <v>0</v>
      </c>
      <c r="H822" s="625">
        <v>0</v>
      </c>
      <c r="I822" s="625">
        <v>8.4</v>
      </c>
      <c r="J822" s="630">
        <v>255.12</v>
      </c>
      <c r="K822" s="625">
        <v>8.4</v>
      </c>
      <c r="L822" s="630">
        <v>255.1</v>
      </c>
      <c r="M822" s="616">
        <v>0.03292826342610741</v>
      </c>
      <c r="N822" s="617">
        <v>227.3</v>
      </c>
      <c r="O822" s="617">
        <v>7.4845942767542155</v>
      </c>
      <c r="P822" s="686">
        <f t="shared" si="129"/>
        <v>1975.6958055664447</v>
      </c>
      <c r="Q822" s="615">
        <v>449.0756566052529</v>
      </c>
      <c r="S822" s="88"/>
      <c r="T822" s="88"/>
    </row>
    <row r="823" spans="1:20" ht="12.75">
      <c r="A823" s="947"/>
      <c r="B823" s="684">
        <v>4</v>
      </c>
      <c r="C823" s="634" t="s">
        <v>977</v>
      </c>
      <c r="D823" s="542">
        <v>8</v>
      </c>
      <c r="E823" s="542">
        <v>1962</v>
      </c>
      <c r="F823" s="625">
        <v>13.3</v>
      </c>
      <c r="G823" s="625">
        <v>0.5</v>
      </c>
      <c r="H823" s="625">
        <v>1.3</v>
      </c>
      <c r="I823" s="625">
        <v>11.5</v>
      </c>
      <c r="J823" s="630">
        <v>349.3</v>
      </c>
      <c r="K823" s="625">
        <v>10.1</v>
      </c>
      <c r="L823" s="630">
        <v>305.787</v>
      </c>
      <c r="M823" s="616">
        <v>0.03302952708911759</v>
      </c>
      <c r="N823" s="617">
        <v>227.3</v>
      </c>
      <c r="O823" s="617">
        <v>7.507611507356429</v>
      </c>
      <c r="P823" s="686">
        <f t="shared" si="129"/>
        <v>1981.7716253470555</v>
      </c>
      <c r="Q823" s="615">
        <v>450.4566904413857</v>
      </c>
      <c r="S823" s="88"/>
      <c r="T823" s="88"/>
    </row>
    <row r="824" spans="1:20" ht="12.75">
      <c r="A824" s="947"/>
      <c r="B824" s="684">
        <v>5</v>
      </c>
      <c r="C824" s="634" t="s">
        <v>978</v>
      </c>
      <c r="D824" s="542">
        <v>12</v>
      </c>
      <c r="E824" s="542">
        <v>1963</v>
      </c>
      <c r="F824" s="625">
        <v>20.5</v>
      </c>
      <c r="G824" s="625">
        <v>1</v>
      </c>
      <c r="H824" s="625">
        <v>1.7</v>
      </c>
      <c r="I824" s="625">
        <v>17.8</v>
      </c>
      <c r="J824" s="630">
        <v>533.92</v>
      </c>
      <c r="K824" s="625">
        <v>17.8</v>
      </c>
      <c r="L824" s="630">
        <v>533.9</v>
      </c>
      <c r="M824" s="616">
        <v>0.03333957669975651</v>
      </c>
      <c r="N824" s="617">
        <v>227.3</v>
      </c>
      <c r="O824" s="617">
        <v>7.578085783854656</v>
      </c>
      <c r="P824" s="686">
        <f t="shared" si="129"/>
        <v>2000.3746019853907</v>
      </c>
      <c r="Q824" s="615">
        <v>454.6851470312793</v>
      </c>
      <c r="S824" s="88"/>
      <c r="T824" s="88"/>
    </row>
    <row r="825" spans="1:20" ht="12.75">
      <c r="A825" s="947"/>
      <c r="B825" s="684">
        <v>6</v>
      </c>
      <c r="C825" s="634" t="s">
        <v>979</v>
      </c>
      <c r="D825" s="542">
        <v>8</v>
      </c>
      <c r="E825" s="542">
        <v>1959</v>
      </c>
      <c r="F825" s="625">
        <v>10.7</v>
      </c>
      <c r="G825" s="625">
        <v>0</v>
      </c>
      <c r="H825" s="625">
        <v>0</v>
      </c>
      <c r="I825" s="625">
        <v>10.7</v>
      </c>
      <c r="J825" s="630">
        <v>303.83</v>
      </c>
      <c r="K825" s="625">
        <v>9.1</v>
      </c>
      <c r="L825" s="630">
        <v>256.9</v>
      </c>
      <c r="M825" s="616">
        <v>0.035422343324250684</v>
      </c>
      <c r="N825" s="617">
        <v>227.3</v>
      </c>
      <c r="O825" s="617">
        <v>8.051498637602181</v>
      </c>
      <c r="P825" s="686">
        <f t="shared" si="129"/>
        <v>2125.3405994550412</v>
      </c>
      <c r="Q825" s="615">
        <v>483.0899182561309</v>
      </c>
      <c r="S825" s="88"/>
      <c r="T825" s="88"/>
    </row>
    <row r="826" spans="1:20" ht="12.75">
      <c r="A826" s="947"/>
      <c r="B826" s="41">
        <v>7</v>
      </c>
      <c r="C826" s="634" t="s">
        <v>980</v>
      </c>
      <c r="D826" s="542">
        <v>6</v>
      </c>
      <c r="E826" s="542" t="s">
        <v>976</v>
      </c>
      <c r="F826" s="625">
        <v>10.5</v>
      </c>
      <c r="G826" s="625">
        <v>0.5</v>
      </c>
      <c r="H826" s="625">
        <v>0.9</v>
      </c>
      <c r="I826" s="625">
        <v>9.1</v>
      </c>
      <c r="J826" s="630">
        <v>252.5</v>
      </c>
      <c r="K826" s="625">
        <v>9.1</v>
      </c>
      <c r="L826" s="630">
        <v>252.5</v>
      </c>
      <c r="M826" s="616">
        <v>0.03603960396039604</v>
      </c>
      <c r="N826" s="617">
        <v>227.3</v>
      </c>
      <c r="O826" s="617">
        <v>8.19180198019802</v>
      </c>
      <c r="P826" s="686">
        <f t="shared" si="129"/>
        <v>2162.376237623762</v>
      </c>
      <c r="Q826" s="615">
        <v>491.5081188118812</v>
      </c>
      <c r="S826" s="88"/>
      <c r="T826" s="88"/>
    </row>
    <row r="827" spans="1:20" ht="12.75">
      <c r="A827" s="947"/>
      <c r="B827" s="543">
        <v>8</v>
      </c>
      <c r="C827" s="634" t="s">
        <v>981</v>
      </c>
      <c r="D827" s="542">
        <v>12</v>
      </c>
      <c r="E827" s="542">
        <v>1960</v>
      </c>
      <c r="F827" s="626">
        <v>25.6</v>
      </c>
      <c r="G827" s="625">
        <v>0.7</v>
      </c>
      <c r="H827" s="625">
        <v>1.9</v>
      </c>
      <c r="I827" s="625">
        <v>23</v>
      </c>
      <c r="J827" s="630">
        <v>531.53</v>
      </c>
      <c r="K827" s="625">
        <v>21.1</v>
      </c>
      <c r="L827" s="630">
        <v>488.5</v>
      </c>
      <c r="M827" s="618">
        <v>0.043193449334698056</v>
      </c>
      <c r="N827" s="619">
        <v>227.3</v>
      </c>
      <c r="O827" s="619">
        <v>9.817871033776868</v>
      </c>
      <c r="P827" s="686">
        <f t="shared" si="129"/>
        <v>2591.6069600818832</v>
      </c>
      <c r="Q827" s="615">
        <v>589.0722620266121</v>
      </c>
      <c r="S827" s="88"/>
      <c r="T827" s="88"/>
    </row>
    <row r="828" spans="19:20" ht="12.75">
      <c r="S828" s="88"/>
      <c r="T828" s="88"/>
    </row>
    <row r="829" spans="19:20" ht="12.75">
      <c r="S829" s="88"/>
      <c r="T829" s="88"/>
    </row>
    <row r="830" spans="1:20" ht="15">
      <c r="A830" s="967" t="s">
        <v>55</v>
      </c>
      <c r="B830" s="967"/>
      <c r="C830" s="967"/>
      <c r="D830" s="967"/>
      <c r="E830" s="967"/>
      <c r="F830" s="967"/>
      <c r="G830" s="967"/>
      <c r="H830" s="967"/>
      <c r="I830" s="967"/>
      <c r="J830" s="967"/>
      <c r="K830" s="967"/>
      <c r="L830" s="967"/>
      <c r="M830" s="967"/>
      <c r="N830" s="967"/>
      <c r="O830" s="967"/>
      <c r="P830" s="967"/>
      <c r="Q830" s="967"/>
      <c r="S830" s="88"/>
      <c r="T830" s="88"/>
    </row>
    <row r="831" spans="1:20" ht="13.5" thickBot="1">
      <c r="A831" s="1074" t="s">
        <v>740</v>
      </c>
      <c r="B831" s="1074"/>
      <c r="C831" s="1074"/>
      <c r="D831" s="1074"/>
      <c r="E831" s="1074"/>
      <c r="F831" s="1074"/>
      <c r="G831" s="1074"/>
      <c r="H831" s="1074"/>
      <c r="I831" s="1074"/>
      <c r="J831" s="1074"/>
      <c r="K831" s="1074"/>
      <c r="L831" s="1074"/>
      <c r="M831" s="1074"/>
      <c r="N831" s="1074"/>
      <c r="O831" s="1074"/>
      <c r="P831" s="1074"/>
      <c r="Q831" s="1074"/>
      <c r="S831" s="88"/>
      <c r="T831" s="88"/>
    </row>
    <row r="832" spans="1:20" ht="12.75" customHeight="1">
      <c r="A832" s="952" t="s">
        <v>1</v>
      </c>
      <c r="B832" s="955" t="s">
        <v>0</v>
      </c>
      <c r="C832" s="944" t="s">
        <v>2</v>
      </c>
      <c r="D832" s="944" t="s">
        <v>3</v>
      </c>
      <c r="E832" s="944" t="s">
        <v>13</v>
      </c>
      <c r="F832" s="960" t="s">
        <v>14</v>
      </c>
      <c r="G832" s="961"/>
      <c r="H832" s="961"/>
      <c r="I832" s="962"/>
      <c r="J832" s="944" t="s">
        <v>4</v>
      </c>
      <c r="K832" s="944" t="s">
        <v>15</v>
      </c>
      <c r="L832" s="944" t="s">
        <v>5</v>
      </c>
      <c r="M832" s="944" t="s">
        <v>6</v>
      </c>
      <c r="N832" s="944" t="s">
        <v>16</v>
      </c>
      <c r="O832" s="944" t="s">
        <v>17</v>
      </c>
      <c r="P832" s="1026" t="s">
        <v>25</v>
      </c>
      <c r="Q832" s="929" t="s">
        <v>26</v>
      </c>
      <c r="S832" s="88"/>
      <c r="T832" s="88"/>
    </row>
    <row r="833" spans="1:20" s="2" customFormat="1" ht="33.75">
      <c r="A833" s="953"/>
      <c r="B833" s="956"/>
      <c r="C833" s="958"/>
      <c r="D833" s="945"/>
      <c r="E833" s="945"/>
      <c r="F833" s="37" t="s">
        <v>18</v>
      </c>
      <c r="G833" s="37" t="s">
        <v>19</v>
      </c>
      <c r="H833" s="37" t="s">
        <v>20</v>
      </c>
      <c r="I833" s="37" t="s">
        <v>21</v>
      </c>
      <c r="J833" s="945"/>
      <c r="K833" s="945"/>
      <c r="L833" s="945"/>
      <c r="M833" s="945"/>
      <c r="N833" s="945"/>
      <c r="O833" s="945"/>
      <c r="P833" s="1027"/>
      <c r="Q833" s="930"/>
      <c r="S833" s="88"/>
      <c r="T833" s="88"/>
    </row>
    <row r="834" spans="1:20" s="3" customFormat="1" ht="13.5" customHeight="1" thickBot="1">
      <c r="A834" s="953"/>
      <c r="B834" s="956"/>
      <c r="C834" s="959"/>
      <c r="D834" s="58" t="s">
        <v>7</v>
      </c>
      <c r="E834" s="58" t="s">
        <v>8</v>
      </c>
      <c r="F834" s="58" t="s">
        <v>9</v>
      </c>
      <c r="G834" s="58" t="s">
        <v>9</v>
      </c>
      <c r="H834" s="58" t="s">
        <v>9</v>
      </c>
      <c r="I834" s="58" t="s">
        <v>9</v>
      </c>
      <c r="J834" s="58" t="s">
        <v>22</v>
      </c>
      <c r="K834" s="58" t="s">
        <v>9</v>
      </c>
      <c r="L834" s="58" t="s">
        <v>22</v>
      </c>
      <c r="M834" s="58" t="s">
        <v>23</v>
      </c>
      <c r="N834" s="58" t="s">
        <v>10</v>
      </c>
      <c r="O834" s="58" t="s">
        <v>24</v>
      </c>
      <c r="P834" s="65" t="s">
        <v>27</v>
      </c>
      <c r="Q834" s="60" t="s">
        <v>28</v>
      </c>
      <c r="S834" s="88"/>
      <c r="T834" s="88"/>
    </row>
    <row r="835" spans="1:20" s="92" customFormat="1" ht="12.75" customHeight="1">
      <c r="A835" s="1028" t="s">
        <v>11</v>
      </c>
      <c r="B835" s="99">
        <v>1</v>
      </c>
      <c r="C835" s="202" t="s">
        <v>460</v>
      </c>
      <c r="D835" s="159">
        <v>51</v>
      </c>
      <c r="E835" s="159" t="s">
        <v>461</v>
      </c>
      <c r="F835" s="253">
        <v>33.2</v>
      </c>
      <c r="G835" s="253">
        <v>3.877</v>
      </c>
      <c r="H835" s="253">
        <v>7.84</v>
      </c>
      <c r="I835" s="253">
        <v>21.483</v>
      </c>
      <c r="J835" s="270">
        <v>2586.98</v>
      </c>
      <c r="K835" s="253">
        <v>21.5</v>
      </c>
      <c r="L835" s="270">
        <v>2587</v>
      </c>
      <c r="M835" s="173">
        <f>K835/L835</f>
        <v>0.00831078469269424</v>
      </c>
      <c r="N835" s="160">
        <v>222.4</v>
      </c>
      <c r="O835" s="164">
        <f>M835*N835</f>
        <v>1.8483185156551991</v>
      </c>
      <c r="P835" s="164">
        <f>M835*60*1000</f>
        <v>498.64708156165443</v>
      </c>
      <c r="Q835" s="203">
        <f>P835*N835/1000</f>
        <v>110.89911093931195</v>
      </c>
      <c r="S835" s="88"/>
      <c r="T835" s="88"/>
    </row>
    <row r="836" spans="1:20" s="92" customFormat="1" ht="13.5" customHeight="1">
      <c r="A836" s="1075"/>
      <c r="B836" s="91">
        <v>2</v>
      </c>
      <c r="C836" s="158" t="s">
        <v>741</v>
      </c>
      <c r="D836" s="132">
        <v>32</v>
      </c>
      <c r="E836" s="132"/>
      <c r="F836" s="248">
        <v>26.2</v>
      </c>
      <c r="G836" s="248">
        <v>6.265</v>
      </c>
      <c r="H836" s="248">
        <v>0.32</v>
      </c>
      <c r="I836" s="248">
        <v>19.643</v>
      </c>
      <c r="J836" s="271">
        <v>1692.62</v>
      </c>
      <c r="K836" s="248">
        <v>19.6</v>
      </c>
      <c r="L836" s="271">
        <v>1692.6</v>
      </c>
      <c r="M836" s="141">
        <f>K836/L836</f>
        <v>0.011579818031430936</v>
      </c>
      <c r="N836" s="160">
        <v>222.4</v>
      </c>
      <c r="O836" s="143">
        <f>M836*N836</f>
        <v>2.57535153019024</v>
      </c>
      <c r="P836" s="164">
        <f>M836*60*1000</f>
        <v>694.7890818858561</v>
      </c>
      <c r="Q836" s="144">
        <f>P836*N836/1000</f>
        <v>154.5210918114144</v>
      </c>
      <c r="S836" s="88"/>
      <c r="T836" s="88"/>
    </row>
    <row r="837" spans="1:20" s="92" customFormat="1" ht="12.75" customHeight="1">
      <c r="A837" s="1075"/>
      <c r="B837" s="91">
        <v>3</v>
      </c>
      <c r="C837" s="158" t="s">
        <v>462</v>
      </c>
      <c r="D837" s="132">
        <v>48</v>
      </c>
      <c r="E837" s="132" t="s">
        <v>461</v>
      </c>
      <c r="F837" s="248">
        <v>42.3</v>
      </c>
      <c r="G837" s="248">
        <v>2.852</v>
      </c>
      <c r="H837" s="248">
        <v>7.28</v>
      </c>
      <c r="I837" s="248">
        <v>32.068</v>
      </c>
      <c r="J837" s="271">
        <v>2591.49</v>
      </c>
      <c r="K837" s="248">
        <v>32.1</v>
      </c>
      <c r="L837" s="271">
        <v>2591.5</v>
      </c>
      <c r="M837" s="141">
        <f>K837/L837</f>
        <v>0.012386648659077754</v>
      </c>
      <c r="N837" s="160">
        <v>222.4</v>
      </c>
      <c r="O837" s="143">
        <f>M837*N837</f>
        <v>2.7547906617788924</v>
      </c>
      <c r="P837" s="164">
        <f>M837*60*1000</f>
        <v>743.1989195446652</v>
      </c>
      <c r="Q837" s="144">
        <f>P837*N837/1000</f>
        <v>165.28743970673355</v>
      </c>
      <c r="S837" s="88"/>
      <c r="T837" s="88"/>
    </row>
    <row r="838" spans="1:20" ht="12.75" customHeight="1">
      <c r="A838" s="1075"/>
      <c r="B838" s="30">
        <v>4</v>
      </c>
      <c r="C838" s="158"/>
      <c r="D838" s="132"/>
      <c r="E838" s="132"/>
      <c r="F838" s="248"/>
      <c r="G838" s="248"/>
      <c r="H838" s="248"/>
      <c r="I838" s="248"/>
      <c r="J838" s="271"/>
      <c r="K838" s="248"/>
      <c r="L838" s="271"/>
      <c r="M838" s="141"/>
      <c r="N838" s="142"/>
      <c r="O838" s="143"/>
      <c r="P838" s="164"/>
      <c r="Q838" s="144"/>
      <c r="S838" s="88"/>
      <c r="T838" s="88"/>
    </row>
    <row r="839" spans="1:20" ht="12.75" customHeight="1">
      <c r="A839" s="1075"/>
      <c r="B839" s="30">
        <v>5</v>
      </c>
      <c r="C839" s="158"/>
      <c r="D839" s="132"/>
      <c r="E839" s="132"/>
      <c r="F839" s="248"/>
      <c r="G839" s="248"/>
      <c r="H839" s="248"/>
      <c r="I839" s="248"/>
      <c r="J839" s="271"/>
      <c r="K839" s="248"/>
      <c r="L839" s="271"/>
      <c r="M839" s="141"/>
      <c r="N839" s="142"/>
      <c r="O839" s="143"/>
      <c r="P839" s="164"/>
      <c r="Q839" s="144"/>
      <c r="S839" s="88"/>
      <c r="T839" s="88"/>
    </row>
    <row r="840" spans="1:20" ht="12.75" customHeight="1">
      <c r="A840" s="1075"/>
      <c r="B840" s="30">
        <v>6</v>
      </c>
      <c r="C840" s="158"/>
      <c r="D840" s="132"/>
      <c r="E840" s="132"/>
      <c r="F840" s="248"/>
      <c r="G840" s="248"/>
      <c r="H840" s="248"/>
      <c r="I840" s="248"/>
      <c r="J840" s="271"/>
      <c r="K840" s="248"/>
      <c r="L840" s="271"/>
      <c r="M840" s="141"/>
      <c r="N840" s="142"/>
      <c r="O840" s="143"/>
      <c r="P840" s="164"/>
      <c r="Q840" s="144"/>
      <c r="S840" s="88"/>
      <c r="T840" s="88"/>
    </row>
    <row r="841" spans="1:20" ht="12.75" customHeight="1">
      <c r="A841" s="1075"/>
      <c r="B841" s="30">
        <v>7</v>
      </c>
      <c r="C841" s="158"/>
      <c r="D841" s="132"/>
      <c r="E841" s="132"/>
      <c r="F841" s="248"/>
      <c r="G841" s="248"/>
      <c r="H841" s="248"/>
      <c r="I841" s="248"/>
      <c r="J841" s="271"/>
      <c r="K841" s="248"/>
      <c r="L841" s="271"/>
      <c r="M841" s="141"/>
      <c r="N841" s="142"/>
      <c r="O841" s="143"/>
      <c r="P841" s="164"/>
      <c r="Q841" s="144"/>
      <c r="S841" s="88"/>
      <c r="T841" s="88"/>
    </row>
    <row r="842" spans="1:20" ht="13.5" customHeight="1">
      <c r="A842" s="1075"/>
      <c r="B842" s="30">
        <v>8</v>
      </c>
      <c r="C842" s="158"/>
      <c r="D842" s="132"/>
      <c r="E842" s="132"/>
      <c r="F842" s="248"/>
      <c r="G842" s="248"/>
      <c r="H842" s="248"/>
      <c r="I842" s="248"/>
      <c r="J842" s="271"/>
      <c r="K842" s="248"/>
      <c r="L842" s="271"/>
      <c r="M842" s="141"/>
      <c r="N842" s="142"/>
      <c r="O842" s="143"/>
      <c r="P842" s="164"/>
      <c r="Q842" s="144"/>
      <c r="S842" s="88"/>
      <c r="T842" s="88"/>
    </row>
    <row r="843" spans="1:20" ht="12.75" customHeight="1">
      <c r="A843" s="1075"/>
      <c r="B843" s="30">
        <v>9</v>
      </c>
      <c r="C843" s="158"/>
      <c r="D843" s="132"/>
      <c r="E843" s="132"/>
      <c r="F843" s="248"/>
      <c r="G843" s="248"/>
      <c r="H843" s="248"/>
      <c r="I843" s="248"/>
      <c r="J843" s="271"/>
      <c r="K843" s="248"/>
      <c r="L843" s="271"/>
      <c r="M843" s="141"/>
      <c r="N843" s="142"/>
      <c r="O843" s="143"/>
      <c r="P843" s="164"/>
      <c r="Q843" s="144"/>
      <c r="S843" s="88"/>
      <c r="T843" s="88"/>
    </row>
    <row r="844" spans="1:20" ht="13.5" customHeight="1" thickBot="1">
      <c r="A844" s="1076"/>
      <c r="B844" s="63">
        <v>10</v>
      </c>
      <c r="C844" s="161"/>
      <c r="D844" s="133"/>
      <c r="E844" s="133"/>
      <c r="F844" s="249"/>
      <c r="G844" s="249"/>
      <c r="H844" s="249"/>
      <c r="I844" s="249"/>
      <c r="J844" s="272"/>
      <c r="K844" s="249"/>
      <c r="L844" s="272"/>
      <c r="M844" s="174"/>
      <c r="N844" s="162"/>
      <c r="O844" s="273"/>
      <c r="P844" s="273"/>
      <c r="Q844" s="165"/>
      <c r="S844" s="88"/>
      <c r="T844" s="88"/>
    </row>
    <row r="845" spans="1:20" ht="12.75">
      <c r="A845" s="1077" t="s">
        <v>29</v>
      </c>
      <c r="B845" s="743">
        <v>1</v>
      </c>
      <c r="C845" s="709" t="s">
        <v>742</v>
      </c>
      <c r="D845" s="710">
        <v>46</v>
      </c>
      <c r="E845" s="710">
        <v>1992</v>
      </c>
      <c r="F845" s="712">
        <v>46</v>
      </c>
      <c r="G845" s="712">
        <v>4.992</v>
      </c>
      <c r="H845" s="712">
        <v>7.2</v>
      </c>
      <c r="I845" s="711">
        <v>33.808</v>
      </c>
      <c r="J845" s="713">
        <v>2147.49</v>
      </c>
      <c r="K845" s="712">
        <v>33.8</v>
      </c>
      <c r="L845" s="713">
        <v>2147.5</v>
      </c>
      <c r="M845" s="714">
        <f aca="true" t="shared" si="130" ref="M845:M868">K845/L845</f>
        <v>0.015739231664726426</v>
      </c>
      <c r="N845" s="715">
        <v>222.4</v>
      </c>
      <c r="O845" s="716">
        <f aca="true" t="shared" si="131" ref="O845:O868">M845*N845</f>
        <v>3.5004051222351573</v>
      </c>
      <c r="P845" s="716">
        <f aca="true" t="shared" si="132" ref="P845:P868">M845*60*1000</f>
        <v>944.3538998835855</v>
      </c>
      <c r="Q845" s="717">
        <f aca="true" t="shared" si="133" ref="Q845:Q868">P845*N845/1000</f>
        <v>210.02430733410944</v>
      </c>
      <c r="S845" s="88"/>
      <c r="T845" s="88"/>
    </row>
    <row r="846" spans="1:20" s="92" customFormat="1" ht="12.75">
      <c r="A846" s="1020"/>
      <c r="B846" s="755">
        <v>2</v>
      </c>
      <c r="C846" s="709" t="s">
        <v>743</v>
      </c>
      <c r="D846" s="710">
        <v>40</v>
      </c>
      <c r="E846" s="710"/>
      <c r="F846" s="711">
        <v>76.6</v>
      </c>
      <c r="G846" s="711">
        <v>3.973</v>
      </c>
      <c r="H846" s="711">
        <v>6.4</v>
      </c>
      <c r="I846" s="711">
        <v>36.242</v>
      </c>
      <c r="J846" s="719">
        <v>2254.53</v>
      </c>
      <c r="K846" s="711">
        <v>36.2</v>
      </c>
      <c r="L846" s="719">
        <v>2254.5</v>
      </c>
      <c r="M846" s="714">
        <f t="shared" si="130"/>
        <v>0.016056775338212464</v>
      </c>
      <c r="N846" s="715">
        <v>222.4</v>
      </c>
      <c r="O846" s="716">
        <f t="shared" si="131"/>
        <v>3.571026835218452</v>
      </c>
      <c r="P846" s="716">
        <f t="shared" si="132"/>
        <v>963.4065202927478</v>
      </c>
      <c r="Q846" s="717">
        <f t="shared" si="133"/>
        <v>214.26161011310714</v>
      </c>
      <c r="S846" s="98"/>
      <c r="T846" s="98"/>
    </row>
    <row r="847" spans="1:20" ht="12.75">
      <c r="A847" s="1020"/>
      <c r="B847" s="725">
        <v>3</v>
      </c>
      <c r="C847" s="709" t="s">
        <v>744</v>
      </c>
      <c r="D847" s="710">
        <v>40</v>
      </c>
      <c r="E847" s="710">
        <v>1984</v>
      </c>
      <c r="F847" s="711">
        <v>51.6</v>
      </c>
      <c r="G847" s="711">
        <v>5.17</v>
      </c>
      <c r="H847" s="711">
        <v>6.4</v>
      </c>
      <c r="I847" s="711">
        <v>40.03</v>
      </c>
      <c r="J847" s="719">
        <v>2304.94</v>
      </c>
      <c r="K847" s="711">
        <v>40</v>
      </c>
      <c r="L847" s="719">
        <v>2304.9</v>
      </c>
      <c r="M847" s="721">
        <f t="shared" si="130"/>
        <v>0.017354332075144255</v>
      </c>
      <c r="N847" s="715">
        <v>222.4</v>
      </c>
      <c r="O847" s="716">
        <f t="shared" si="131"/>
        <v>3.8596034535120824</v>
      </c>
      <c r="P847" s="716">
        <f t="shared" si="132"/>
        <v>1041.2599245086553</v>
      </c>
      <c r="Q847" s="722">
        <f t="shared" si="133"/>
        <v>231.57620721072493</v>
      </c>
      <c r="S847" s="88"/>
      <c r="T847" s="88"/>
    </row>
    <row r="848" spans="1:20" ht="12.75">
      <c r="A848" s="1020"/>
      <c r="B848" s="725">
        <v>4</v>
      </c>
      <c r="C848" s="709" t="s">
        <v>745</v>
      </c>
      <c r="D848" s="710">
        <v>36</v>
      </c>
      <c r="E848" s="710">
        <v>1967</v>
      </c>
      <c r="F848" s="711">
        <v>35.3</v>
      </c>
      <c r="G848" s="711">
        <v>3.332</v>
      </c>
      <c r="H848" s="711">
        <v>5.76</v>
      </c>
      <c r="I848" s="711">
        <v>26.208</v>
      </c>
      <c r="J848" s="719">
        <v>1500.89</v>
      </c>
      <c r="K848" s="711">
        <v>26.2</v>
      </c>
      <c r="L848" s="719">
        <v>1500.9</v>
      </c>
      <c r="M848" s="721">
        <f t="shared" si="130"/>
        <v>0.017456192950896128</v>
      </c>
      <c r="N848" s="715">
        <v>222.4</v>
      </c>
      <c r="O848" s="723">
        <f t="shared" si="131"/>
        <v>3.882257312279299</v>
      </c>
      <c r="P848" s="716">
        <f t="shared" si="132"/>
        <v>1047.3715770537676</v>
      </c>
      <c r="Q848" s="722">
        <f t="shared" si="133"/>
        <v>232.93543873675793</v>
      </c>
      <c r="S848" s="88"/>
      <c r="T848" s="88"/>
    </row>
    <row r="849" spans="1:20" ht="12.75">
      <c r="A849" s="1020"/>
      <c r="B849" s="725">
        <v>5</v>
      </c>
      <c r="C849" s="709" t="s">
        <v>746</v>
      </c>
      <c r="D849" s="710">
        <v>42</v>
      </c>
      <c r="E849" s="710">
        <v>1980</v>
      </c>
      <c r="F849" s="711">
        <v>51.8</v>
      </c>
      <c r="G849" s="711">
        <v>5.726</v>
      </c>
      <c r="H849" s="711">
        <v>6.4</v>
      </c>
      <c r="I849" s="711">
        <v>39.674</v>
      </c>
      <c r="J849" s="719">
        <v>2253.39</v>
      </c>
      <c r="K849" s="711">
        <v>39.7</v>
      </c>
      <c r="L849" s="719">
        <v>2253.4</v>
      </c>
      <c r="M849" s="721">
        <f t="shared" si="130"/>
        <v>0.01761782195793024</v>
      </c>
      <c r="N849" s="715">
        <v>222.4</v>
      </c>
      <c r="O849" s="723">
        <f t="shared" si="131"/>
        <v>3.918203603443686</v>
      </c>
      <c r="P849" s="716">
        <f t="shared" si="132"/>
        <v>1057.0693174758144</v>
      </c>
      <c r="Q849" s="722">
        <f t="shared" si="133"/>
        <v>235.09221620662112</v>
      </c>
      <c r="S849" s="88"/>
      <c r="T849" s="88"/>
    </row>
    <row r="850" spans="1:20" ht="12.75">
      <c r="A850" s="1020"/>
      <c r="B850" s="725">
        <v>6</v>
      </c>
      <c r="C850" s="709" t="s">
        <v>747</v>
      </c>
      <c r="D850" s="710">
        <v>31</v>
      </c>
      <c r="E850" s="710">
        <v>1991</v>
      </c>
      <c r="F850" s="711">
        <v>38.3</v>
      </c>
      <c r="G850" s="711">
        <v>4.467</v>
      </c>
      <c r="H850" s="711">
        <v>4.8</v>
      </c>
      <c r="I850" s="711">
        <v>29.033</v>
      </c>
      <c r="J850" s="719">
        <v>1636.16</v>
      </c>
      <c r="K850" s="711">
        <v>29</v>
      </c>
      <c r="L850" s="719">
        <v>1636.2</v>
      </c>
      <c r="M850" s="721">
        <f t="shared" si="130"/>
        <v>0.01772399462168439</v>
      </c>
      <c r="N850" s="715">
        <v>222.4</v>
      </c>
      <c r="O850" s="723">
        <f t="shared" si="131"/>
        <v>3.941816403862609</v>
      </c>
      <c r="P850" s="716">
        <f t="shared" si="132"/>
        <v>1063.4396773010635</v>
      </c>
      <c r="Q850" s="722">
        <f t="shared" si="133"/>
        <v>236.50898423175653</v>
      </c>
      <c r="S850" s="88"/>
      <c r="T850" s="88"/>
    </row>
    <row r="851" spans="1:20" ht="12.75">
      <c r="A851" s="1020"/>
      <c r="B851" s="725">
        <v>7</v>
      </c>
      <c r="C851" s="709" t="s">
        <v>748</v>
      </c>
      <c r="D851" s="710">
        <v>10</v>
      </c>
      <c r="E851" s="710">
        <v>1978</v>
      </c>
      <c r="F851" s="711">
        <v>13.6</v>
      </c>
      <c r="G851" s="711">
        <v>2.445</v>
      </c>
      <c r="H851" s="711">
        <v>1.6</v>
      </c>
      <c r="I851" s="711">
        <v>9.555</v>
      </c>
      <c r="J851" s="719">
        <v>541.59</v>
      </c>
      <c r="K851" s="711">
        <v>9.6</v>
      </c>
      <c r="L851" s="719">
        <v>541.6</v>
      </c>
      <c r="M851" s="721">
        <f t="shared" si="130"/>
        <v>0.017725258493353026</v>
      </c>
      <c r="N851" s="715">
        <v>222.4</v>
      </c>
      <c r="O851" s="723">
        <f t="shared" si="131"/>
        <v>3.942097488921713</v>
      </c>
      <c r="P851" s="716">
        <f t="shared" si="132"/>
        <v>1063.5155096011815</v>
      </c>
      <c r="Q851" s="722">
        <f t="shared" si="133"/>
        <v>236.52584933530278</v>
      </c>
      <c r="S851" s="88"/>
      <c r="T851" s="88"/>
    </row>
    <row r="852" spans="1:20" ht="12.75">
      <c r="A852" s="1020"/>
      <c r="B852" s="725">
        <v>8</v>
      </c>
      <c r="C852" s="709" t="s">
        <v>749</v>
      </c>
      <c r="D852" s="710">
        <v>6</v>
      </c>
      <c r="E852" s="710">
        <v>1956</v>
      </c>
      <c r="F852" s="711">
        <v>6.1</v>
      </c>
      <c r="G852" s="711">
        <v>0.357</v>
      </c>
      <c r="H852" s="711">
        <v>0.96</v>
      </c>
      <c r="I852" s="711">
        <v>4.748</v>
      </c>
      <c r="J852" s="719">
        <v>264.64</v>
      </c>
      <c r="K852" s="711">
        <v>4.7</v>
      </c>
      <c r="L852" s="719">
        <v>264.6</v>
      </c>
      <c r="M852" s="721">
        <f t="shared" si="130"/>
        <v>0.017762660619803475</v>
      </c>
      <c r="N852" s="715">
        <v>222.4</v>
      </c>
      <c r="O852" s="723">
        <f t="shared" si="131"/>
        <v>3.9504157218442932</v>
      </c>
      <c r="P852" s="716">
        <f t="shared" si="132"/>
        <v>1065.7596371882084</v>
      </c>
      <c r="Q852" s="722">
        <f t="shared" si="133"/>
        <v>237.02494331065756</v>
      </c>
      <c r="S852" s="88"/>
      <c r="T852" s="88"/>
    </row>
    <row r="853" spans="1:20" ht="12.75">
      <c r="A853" s="1078"/>
      <c r="B853" s="760">
        <v>9</v>
      </c>
      <c r="C853" s="709" t="s">
        <v>750</v>
      </c>
      <c r="D853" s="710">
        <v>30</v>
      </c>
      <c r="E853" s="710">
        <v>1988</v>
      </c>
      <c r="F853" s="711">
        <v>36.7</v>
      </c>
      <c r="G853" s="711">
        <v>3.464</v>
      </c>
      <c r="H853" s="711">
        <v>4.8</v>
      </c>
      <c r="I853" s="711">
        <v>28.436</v>
      </c>
      <c r="J853" s="719">
        <v>1594.58</v>
      </c>
      <c r="K853" s="711">
        <v>28.4</v>
      </c>
      <c r="L853" s="719">
        <v>1594.6</v>
      </c>
      <c r="M853" s="721">
        <f t="shared" si="130"/>
        <v>0.017810109118274176</v>
      </c>
      <c r="N853" s="715">
        <v>222.4</v>
      </c>
      <c r="O853" s="723">
        <f t="shared" si="131"/>
        <v>3.960968267904177</v>
      </c>
      <c r="P853" s="716">
        <f t="shared" si="132"/>
        <v>1068.6065470964506</v>
      </c>
      <c r="Q853" s="722">
        <f t="shared" si="133"/>
        <v>237.6580960742506</v>
      </c>
      <c r="S853" s="88"/>
      <c r="T853" s="88"/>
    </row>
    <row r="854" spans="1:20" ht="13.5" customHeight="1" thickBot="1">
      <c r="A854" s="1021"/>
      <c r="B854" s="736">
        <v>10</v>
      </c>
      <c r="C854" s="745" t="s">
        <v>751</v>
      </c>
      <c r="D854" s="746">
        <v>41</v>
      </c>
      <c r="E854" s="746"/>
      <c r="F854" s="747">
        <v>52.5</v>
      </c>
      <c r="G854" s="747">
        <v>5.028</v>
      </c>
      <c r="H854" s="747">
        <v>6.4</v>
      </c>
      <c r="I854" s="747">
        <v>41.072</v>
      </c>
      <c r="J854" s="748">
        <v>2279.15</v>
      </c>
      <c r="K854" s="747">
        <v>41.1</v>
      </c>
      <c r="L854" s="748">
        <v>2279.2</v>
      </c>
      <c r="M854" s="749">
        <f t="shared" si="130"/>
        <v>0.018032643032643035</v>
      </c>
      <c r="N854" s="715">
        <v>222.4</v>
      </c>
      <c r="O854" s="750">
        <f t="shared" si="131"/>
        <v>4.010459810459811</v>
      </c>
      <c r="P854" s="750">
        <f t="shared" si="132"/>
        <v>1081.9585819585823</v>
      </c>
      <c r="Q854" s="751">
        <f t="shared" si="133"/>
        <v>240.6275886275887</v>
      </c>
      <c r="S854" s="88"/>
      <c r="T854" s="88"/>
    </row>
    <row r="855" spans="1:20" ht="12.75">
      <c r="A855" s="918" t="s">
        <v>30</v>
      </c>
      <c r="B855" s="32">
        <v>1</v>
      </c>
      <c r="C855" s="215" t="s">
        <v>752</v>
      </c>
      <c r="D855" s="217">
        <v>47</v>
      </c>
      <c r="E855" s="217">
        <v>1970</v>
      </c>
      <c r="F855" s="313">
        <v>72.1</v>
      </c>
      <c r="G855" s="313">
        <v>3.005</v>
      </c>
      <c r="H855" s="313">
        <v>6.97</v>
      </c>
      <c r="I855" s="313">
        <v>62.125</v>
      </c>
      <c r="J855" s="276">
        <v>2475.66</v>
      </c>
      <c r="K855" s="313">
        <v>62.1</v>
      </c>
      <c r="L855" s="390">
        <v>2475.7</v>
      </c>
      <c r="M855" s="209">
        <f t="shared" si="130"/>
        <v>0.02508381467867674</v>
      </c>
      <c r="N855" s="220">
        <v>222.4</v>
      </c>
      <c r="O855" s="208">
        <f t="shared" si="131"/>
        <v>5.578640384537707</v>
      </c>
      <c r="P855" s="208">
        <f t="shared" si="132"/>
        <v>1505.0288807206043</v>
      </c>
      <c r="Q855" s="210">
        <f t="shared" si="133"/>
        <v>334.71842307226245</v>
      </c>
      <c r="S855" s="88"/>
      <c r="T855" s="88"/>
    </row>
    <row r="856" spans="1:20" ht="12.75">
      <c r="A856" s="919"/>
      <c r="B856" s="34">
        <v>2</v>
      </c>
      <c r="C856" s="205" t="s">
        <v>753</v>
      </c>
      <c r="D856" s="135">
        <v>12</v>
      </c>
      <c r="E856" s="135">
        <v>1993</v>
      </c>
      <c r="F856" s="222">
        <v>16.8</v>
      </c>
      <c r="G856" s="222">
        <v>1.273</v>
      </c>
      <c r="H856" s="222">
        <v>1.92</v>
      </c>
      <c r="I856" s="222">
        <v>13.607</v>
      </c>
      <c r="J856" s="277">
        <v>541.99</v>
      </c>
      <c r="K856" s="222">
        <v>13.6</v>
      </c>
      <c r="L856" s="277">
        <v>542</v>
      </c>
      <c r="M856" s="146">
        <f t="shared" si="130"/>
        <v>0.025092250922509225</v>
      </c>
      <c r="N856" s="220">
        <v>222.4</v>
      </c>
      <c r="O856" s="148">
        <f t="shared" si="131"/>
        <v>5.580516605166052</v>
      </c>
      <c r="P856" s="208">
        <f t="shared" si="132"/>
        <v>1505.5350553505536</v>
      </c>
      <c r="Q856" s="149">
        <f t="shared" si="133"/>
        <v>334.8309963099631</v>
      </c>
      <c r="S856" s="88"/>
      <c r="T856" s="88"/>
    </row>
    <row r="857" spans="1:20" ht="12.75">
      <c r="A857" s="919"/>
      <c r="B857" s="34">
        <v>3</v>
      </c>
      <c r="C857" s="205" t="s">
        <v>754</v>
      </c>
      <c r="D857" s="135">
        <v>8</v>
      </c>
      <c r="E857" s="135">
        <v>1980</v>
      </c>
      <c r="F857" s="222">
        <v>13.2</v>
      </c>
      <c r="G857" s="222">
        <v>1.505</v>
      </c>
      <c r="H857" s="222">
        <v>1.28</v>
      </c>
      <c r="I857" s="222">
        <v>10.354</v>
      </c>
      <c r="J857" s="277">
        <v>402.95</v>
      </c>
      <c r="K857" s="222">
        <v>10.4</v>
      </c>
      <c r="L857" s="277">
        <v>403</v>
      </c>
      <c r="M857" s="146">
        <f t="shared" si="130"/>
        <v>0.025806451612903226</v>
      </c>
      <c r="N857" s="220">
        <v>222.4</v>
      </c>
      <c r="O857" s="148">
        <f t="shared" si="131"/>
        <v>5.739354838709677</v>
      </c>
      <c r="P857" s="208">
        <f t="shared" si="132"/>
        <v>1548.3870967741934</v>
      </c>
      <c r="Q857" s="149">
        <f t="shared" si="133"/>
        <v>344.3612903225806</v>
      </c>
      <c r="S857" s="88"/>
      <c r="T857" s="88"/>
    </row>
    <row r="858" spans="1:20" ht="12.75">
      <c r="A858" s="919"/>
      <c r="B858" s="34">
        <v>4</v>
      </c>
      <c r="C858" s="205" t="s">
        <v>755</v>
      </c>
      <c r="D858" s="135">
        <v>13</v>
      </c>
      <c r="E858" s="135">
        <v>1960</v>
      </c>
      <c r="F858" s="222">
        <v>9.6</v>
      </c>
      <c r="G858" s="222">
        <v>0</v>
      </c>
      <c r="H858" s="222">
        <v>0</v>
      </c>
      <c r="I858" s="222">
        <v>9.6</v>
      </c>
      <c r="J858" s="277">
        <v>371.4</v>
      </c>
      <c r="K858" s="222">
        <v>9.6</v>
      </c>
      <c r="L858" s="277">
        <v>371.4</v>
      </c>
      <c r="M858" s="146">
        <f t="shared" si="130"/>
        <v>0.025848142164781908</v>
      </c>
      <c r="N858" s="220">
        <v>222.4</v>
      </c>
      <c r="O858" s="148">
        <f t="shared" si="131"/>
        <v>5.748626817447496</v>
      </c>
      <c r="P858" s="208">
        <f t="shared" si="132"/>
        <v>1550.8885298869143</v>
      </c>
      <c r="Q858" s="149">
        <f t="shared" si="133"/>
        <v>344.91760904684975</v>
      </c>
      <c r="S858" s="88"/>
      <c r="T858" s="88"/>
    </row>
    <row r="859" spans="1:20" ht="12.75">
      <c r="A859" s="919"/>
      <c r="B859" s="34">
        <v>5</v>
      </c>
      <c r="C859" s="205" t="s">
        <v>756</v>
      </c>
      <c r="D859" s="135">
        <v>12</v>
      </c>
      <c r="E859" s="135">
        <v>1949</v>
      </c>
      <c r="F859" s="222">
        <v>17.5</v>
      </c>
      <c r="G859" s="222">
        <v>1.29</v>
      </c>
      <c r="H859" s="222">
        <v>1.84</v>
      </c>
      <c r="I859" s="222">
        <v>14.369</v>
      </c>
      <c r="J859" s="277">
        <v>554.28</v>
      </c>
      <c r="K859" s="222">
        <v>14.4</v>
      </c>
      <c r="L859" s="277">
        <v>554.3</v>
      </c>
      <c r="M859" s="146">
        <f t="shared" si="130"/>
        <v>0.025978711888868845</v>
      </c>
      <c r="N859" s="220">
        <v>222.4</v>
      </c>
      <c r="O859" s="148">
        <f t="shared" si="131"/>
        <v>5.777665524084431</v>
      </c>
      <c r="P859" s="208">
        <f t="shared" si="132"/>
        <v>1558.7227133321308</v>
      </c>
      <c r="Q859" s="149">
        <f t="shared" si="133"/>
        <v>346.65993144506587</v>
      </c>
      <c r="S859" s="88"/>
      <c r="T859" s="88"/>
    </row>
    <row r="860" spans="1:20" ht="12.75">
      <c r="A860" s="919"/>
      <c r="B860" s="34">
        <v>6</v>
      </c>
      <c r="C860" s="205" t="s">
        <v>757</v>
      </c>
      <c r="D860" s="135">
        <v>22</v>
      </c>
      <c r="E860" s="135">
        <v>1980</v>
      </c>
      <c r="F860" s="222">
        <v>36</v>
      </c>
      <c r="G860" s="222">
        <v>2.022</v>
      </c>
      <c r="H860" s="222">
        <v>3.52</v>
      </c>
      <c r="I860" s="222">
        <v>30.458</v>
      </c>
      <c r="J860" s="277">
        <v>1165.5</v>
      </c>
      <c r="K860" s="222">
        <v>30.5</v>
      </c>
      <c r="L860" s="277">
        <v>1165.5</v>
      </c>
      <c r="M860" s="146">
        <f t="shared" si="130"/>
        <v>0.02616902616902617</v>
      </c>
      <c r="N860" s="220">
        <v>222.4</v>
      </c>
      <c r="O860" s="148">
        <f t="shared" si="131"/>
        <v>5.81999141999142</v>
      </c>
      <c r="P860" s="208">
        <f t="shared" si="132"/>
        <v>1570.1415701415701</v>
      </c>
      <c r="Q860" s="149">
        <f t="shared" si="133"/>
        <v>349.1994851994852</v>
      </c>
      <c r="S860" s="88"/>
      <c r="T860" s="88"/>
    </row>
    <row r="861" spans="1:20" ht="12.75">
      <c r="A861" s="919"/>
      <c r="B861" s="34">
        <v>7</v>
      </c>
      <c r="C861" s="205" t="s">
        <v>758</v>
      </c>
      <c r="D861" s="135">
        <v>20</v>
      </c>
      <c r="E861" s="135"/>
      <c r="F861" s="222">
        <v>33.9</v>
      </c>
      <c r="G861" s="222">
        <v>2.524</v>
      </c>
      <c r="H861" s="222">
        <v>3.2</v>
      </c>
      <c r="I861" s="222">
        <v>28.176</v>
      </c>
      <c r="J861" s="277">
        <v>1071.28</v>
      </c>
      <c r="K861" s="222">
        <v>28.2</v>
      </c>
      <c r="L861" s="277">
        <v>1071.3</v>
      </c>
      <c r="M861" s="146">
        <f t="shared" si="130"/>
        <v>0.026323158779053488</v>
      </c>
      <c r="N861" s="220">
        <v>222.4</v>
      </c>
      <c r="O861" s="148">
        <f t="shared" si="131"/>
        <v>5.854270512461496</v>
      </c>
      <c r="P861" s="208">
        <f t="shared" si="132"/>
        <v>1579.3895267432092</v>
      </c>
      <c r="Q861" s="149">
        <f t="shared" si="133"/>
        <v>351.2562307476897</v>
      </c>
      <c r="S861" s="88"/>
      <c r="T861" s="88"/>
    </row>
    <row r="862" spans="1:20" ht="12.75">
      <c r="A862" s="919"/>
      <c r="B862" s="34">
        <v>8</v>
      </c>
      <c r="C862" s="205" t="s">
        <v>759</v>
      </c>
      <c r="D862" s="135">
        <v>22</v>
      </c>
      <c r="E862" s="135">
        <v>1982</v>
      </c>
      <c r="F862" s="222">
        <v>36.5</v>
      </c>
      <c r="G862" s="222">
        <v>2.364</v>
      </c>
      <c r="H862" s="222">
        <v>3.52</v>
      </c>
      <c r="I862" s="222">
        <v>30.616</v>
      </c>
      <c r="J862" s="277">
        <v>1153.74</v>
      </c>
      <c r="K862" s="222">
        <v>30.6</v>
      </c>
      <c r="L862" s="277">
        <v>1153.7</v>
      </c>
      <c r="M862" s="146">
        <f t="shared" si="130"/>
        <v>0.02652335962555257</v>
      </c>
      <c r="N862" s="220">
        <v>222.4</v>
      </c>
      <c r="O862" s="148">
        <f t="shared" si="131"/>
        <v>5.898795180722892</v>
      </c>
      <c r="P862" s="208">
        <f t="shared" si="132"/>
        <v>1591.4015775331543</v>
      </c>
      <c r="Q862" s="149">
        <f t="shared" si="133"/>
        <v>353.9277108433735</v>
      </c>
      <c r="S862" s="88"/>
      <c r="T862" s="88"/>
    </row>
    <row r="863" spans="1:20" ht="12.75">
      <c r="A863" s="920"/>
      <c r="B863" s="75">
        <v>9</v>
      </c>
      <c r="C863" s="205" t="s">
        <v>760</v>
      </c>
      <c r="D863" s="135">
        <v>22</v>
      </c>
      <c r="E863" s="135">
        <v>1982</v>
      </c>
      <c r="F863" s="222">
        <v>38.2</v>
      </c>
      <c r="G863" s="222">
        <v>2.751</v>
      </c>
      <c r="H863" s="222">
        <v>3.52</v>
      </c>
      <c r="I863" s="222">
        <v>31.929</v>
      </c>
      <c r="J863" s="277">
        <v>1193.4</v>
      </c>
      <c r="K863" s="222">
        <v>31.9</v>
      </c>
      <c r="L863" s="277">
        <v>1193.4</v>
      </c>
      <c r="M863" s="146">
        <f t="shared" si="130"/>
        <v>0.02673035025976202</v>
      </c>
      <c r="N863" s="220">
        <v>222.4</v>
      </c>
      <c r="O863" s="148">
        <f t="shared" si="131"/>
        <v>5.944829897771074</v>
      </c>
      <c r="P863" s="208">
        <f t="shared" si="132"/>
        <v>1603.8210155857214</v>
      </c>
      <c r="Q863" s="149">
        <f t="shared" si="133"/>
        <v>356.68979386626444</v>
      </c>
      <c r="S863" s="88"/>
      <c r="T863" s="88"/>
    </row>
    <row r="864" spans="1:20" ht="13.5" thickBot="1">
      <c r="A864" s="921"/>
      <c r="B864" s="36">
        <v>10</v>
      </c>
      <c r="C864" s="216" t="s">
        <v>761</v>
      </c>
      <c r="D864" s="136">
        <v>10</v>
      </c>
      <c r="E864" s="136"/>
      <c r="F864" s="312">
        <v>17.1</v>
      </c>
      <c r="G864" s="312">
        <v>0.968</v>
      </c>
      <c r="H864" s="312">
        <v>1.6</v>
      </c>
      <c r="I864" s="312">
        <v>14.532</v>
      </c>
      <c r="J864" s="278">
        <v>541.41</v>
      </c>
      <c r="K864" s="312">
        <v>14.5</v>
      </c>
      <c r="L864" s="278">
        <v>541.4</v>
      </c>
      <c r="M864" s="211">
        <f t="shared" si="130"/>
        <v>0.026782415958625787</v>
      </c>
      <c r="N864" s="220">
        <v>222.4</v>
      </c>
      <c r="O864" s="212">
        <f t="shared" si="131"/>
        <v>5.956409309198375</v>
      </c>
      <c r="P864" s="212">
        <f t="shared" si="132"/>
        <v>1606.9449575175472</v>
      </c>
      <c r="Q864" s="213">
        <f t="shared" si="133"/>
        <v>357.38455855190256</v>
      </c>
      <c r="S864" s="88"/>
      <c r="T864" s="88"/>
    </row>
    <row r="865" spans="1:20" ht="12.75">
      <c r="A865" s="1035" t="s">
        <v>12</v>
      </c>
      <c r="B865" s="39">
        <v>1</v>
      </c>
      <c r="C865" s="166" t="s">
        <v>762</v>
      </c>
      <c r="D865" s="167">
        <v>10</v>
      </c>
      <c r="E865" s="167">
        <v>1945</v>
      </c>
      <c r="F865" s="250">
        <v>8.4</v>
      </c>
      <c r="G865" s="250">
        <v>0.102</v>
      </c>
      <c r="H865" s="250">
        <v>0</v>
      </c>
      <c r="I865" s="250">
        <v>8.298</v>
      </c>
      <c r="J865" s="274">
        <v>256.65</v>
      </c>
      <c r="K865" s="250">
        <v>8.3</v>
      </c>
      <c r="L865" s="391">
        <v>256.7</v>
      </c>
      <c r="M865" s="170">
        <f t="shared" si="130"/>
        <v>0.032333463186599146</v>
      </c>
      <c r="N865" s="168">
        <v>222.4</v>
      </c>
      <c r="O865" s="171">
        <f t="shared" si="131"/>
        <v>7.19096221269965</v>
      </c>
      <c r="P865" s="171">
        <f t="shared" si="132"/>
        <v>1940.0077911959488</v>
      </c>
      <c r="Q865" s="172">
        <f t="shared" si="133"/>
        <v>431.45773276197906</v>
      </c>
      <c r="S865" s="88"/>
      <c r="T865" s="88"/>
    </row>
    <row r="866" spans="1:20" ht="12.75">
      <c r="A866" s="1079"/>
      <c r="B866" s="79">
        <v>2</v>
      </c>
      <c r="C866" s="169" t="s">
        <v>763</v>
      </c>
      <c r="D866" s="137">
        <v>8</v>
      </c>
      <c r="E866" s="137">
        <v>1958</v>
      </c>
      <c r="F866" s="218">
        <v>13.9</v>
      </c>
      <c r="G866" s="218">
        <v>0.866</v>
      </c>
      <c r="H866" s="218">
        <v>1.12</v>
      </c>
      <c r="I866" s="218">
        <v>11.914</v>
      </c>
      <c r="J866" s="275">
        <v>356.49</v>
      </c>
      <c r="K866" s="218">
        <v>11.9</v>
      </c>
      <c r="L866" s="275">
        <v>356.5</v>
      </c>
      <c r="M866" s="150">
        <f t="shared" si="130"/>
        <v>0.03338008415147265</v>
      </c>
      <c r="N866" s="168">
        <v>222.4</v>
      </c>
      <c r="O866" s="152">
        <f t="shared" si="131"/>
        <v>7.423730715287518</v>
      </c>
      <c r="P866" s="171">
        <f t="shared" si="132"/>
        <v>2002.805049088359</v>
      </c>
      <c r="Q866" s="153">
        <f t="shared" si="133"/>
        <v>445.4238429172511</v>
      </c>
      <c r="S866" s="88"/>
      <c r="T866" s="88"/>
    </row>
    <row r="867" spans="1:20" ht="12.75">
      <c r="A867" s="1079"/>
      <c r="B867" s="79">
        <v>3</v>
      </c>
      <c r="C867" s="169" t="s">
        <v>764</v>
      </c>
      <c r="D867" s="137">
        <v>10</v>
      </c>
      <c r="E867" s="137">
        <v>1976</v>
      </c>
      <c r="F867" s="218">
        <v>14.6</v>
      </c>
      <c r="G867" s="218">
        <v>0.713</v>
      </c>
      <c r="H867" s="218">
        <v>0</v>
      </c>
      <c r="I867" s="218">
        <v>13.887</v>
      </c>
      <c r="J867" s="275">
        <v>411.49</v>
      </c>
      <c r="K867" s="218">
        <v>13.9</v>
      </c>
      <c r="L867" s="275">
        <v>411.5</v>
      </c>
      <c r="M867" s="150">
        <f t="shared" si="130"/>
        <v>0.03377885783718105</v>
      </c>
      <c r="N867" s="168">
        <v>222.4</v>
      </c>
      <c r="O867" s="152">
        <f t="shared" si="131"/>
        <v>7.512417982989065</v>
      </c>
      <c r="P867" s="171">
        <f t="shared" si="132"/>
        <v>2026.731470230863</v>
      </c>
      <c r="Q867" s="153">
        <f t="shared" si="133"/>
        <v>450.74507897934393</v>
      </c>
      <c r="S867" s="88"/>
      <c r="T867" s="88"/>
    </row>
    <row r="868" spans="1:20" ht="12.75">
      <c r="A868" s="1036"/>
      <c r="B868" s="41">
        <v>4</v>
      </c>
      <c r="C868" s="169" t="s">
        <v>765</v>
      </c>
      <c r="D868" s="137">
        <v>10</v>
      </c>
      <c r="E868" s="137"/>
      <c r="F868" s="218">
        <v>10.4</v>
      </c>
      <c r="G868" s="218">
        <v>0.56</v>
      </c>
      <c r="H868" s="218">
        <v>0</v>
      </c>
      <c r="I868" s="218">
        <v>9.84</v>
      </c>
      <c r="J868" s="275">
        <v>273.29</v>
      </c>
      <c r="K868" s="218">
        <v>9.8</v>
      </c>
      <c r="L868" s="275">
        <v>273.3</v>
      </c>
      <c r="M868" s="150">
        <f t="shared" si="130"/>
        <v>0.035858031467252104</v>
      </c>
      <c r="N868" s="168">
        <v>222.4</v>
      </c>
      <c r="O868" s="152">
        <f t="shared" si="131"/>
        <v>7.974826198316868</v>
      </c>
      <c r="P868" s="171">
        <f t="shared" si="132"/>
        <v>2151.4818880351263</v>
      </c>
      <c r="Q868" s="153">
        <f t="shared" si="133"/>
        <v>478.4895718990121</v>
      </c>
      <c r="S868" s="88"/>
      <c r="T868" s="88"/>
    </row>
    <row r="869" spans="1:20" ht="12.75">
      <c r="A869" s="1036"/>
      <c r="B869" s="41">
        <v>5</v>
      </c>
      <c r="C869" s="169"/>
      <c r="D869" s="137"/>
      <c r="E869" s="137"/>
      <c r="F869" s="218"/>
      <c r="G869" s="218"/>
      <c r="H869" s="218"/>
      <c r="I869" s="218"/>
      <c r="J869" s="275"/>
      <c r="K869" s="218"/>
      <c r="L869" s="275"/>
      <c r="M869" s="150"/>
      <c r="N869" s="151"/>
      <c r="O869" s="152"/>
      <c r="P869" s="171"/>
      <c r="Q869" s="153"/>
      <c r="S869" s="88"/>
      <c r="T869" s="88"/>
    </row>
    <row r="870" spans="1:20" ht="12.75">
      <c r="A870" s="1036"/>
      <c r="B870" s="41">
        <v>6</v>
      </c>
      <c r="C870" s="169"/>
      <c r="D870" s="137"/>
      <c r="E870" s="137"/>
      <c r="F870" s="218"/>
      <c r="G870" s="218"/>
      <c r="H870" s="218"/>
      <c r="I870" s="218"/>
      <c r="J870" s="275"/>
      <c r="K870" s="386"/>
      <c r="L870" s="275"/>
      <c r="M870" s="150"/>
      <c r="N870" s="168"/>
      <c r="O870" s="152"/>
      <c r="P870" s="171"/>
      <c r="Q870" s="153"/>
      <c r="S870" s="88"/>
      <c r="T870" s="88"/>
    </row>
    <row r="871" spans="1:20" ht="12.75">
      <c r="A871" s="1036"/>
      <c r="B871" s="41">
        <v>7</v>
      </c>
      <c r="C871" s="169"/>
      <c r="D871" s="137"/>
      <c r="E871" s="137"/>
      <c r="F871" s="218"/>
      <c r="G871" s="218"/>
      <c r="H871" s="218"/>
      <c r="I871" s="218"/>
      <c r="J871" s="275"/>
      <c r="K871" s="386"/>
      <c r="L871" s="275"/>
      <c r="M871" s="150"/>
      <c r="N871" s="151"/>
      <c r="O871" s="152"/>
      <c r="P871" s="152"/>
      <c r="Q871" s="153"/>
      <c r="S871" s="88"/>
      <c r="T871" s="88"/>
    </row>
    <row r="872" spans="1:20" ht="12.75">
      <c r="A872" s="1036"/>
      <c r="B872" s="41">
        <v>8</v>
      </c>
      <c r="C872" s="169"/>
      <c r="D872" s="137"/>
      <c r="E872" s="137"/>
      <c r="F872" s="218"/>
      <c r="G872" s="218"/>
      <c r="H872" s="218"/>
      <c r="I872" s="218"/>
      <c r="J872" s="275"/>
      <c r="K872" s="386"/>
      <c r="L872" s="275"/>
      <c r="M872" s="150"/>
      <c r="N872" s="151"/>
      <c r="O872" s="152"/>
      <c r="P872" s="152"/>
      <c r="Q872" s="153"/>
      <c r="S872" s="88"/>
      <c r="T872" s="88"/>
    </row>
    <row r="873" spans="1:20" ht="12.75">
      <c r="A873" s="1036"/>
      <c r="B873" s="41">
        <v>9</v>
      </c>
      <c r="C873" s="257"/>
      <c r="D873" s="137"/>
      <c r="E873" s="137"/>
      <c r="F873" s="218"/>
      <c r="G873" s="218"/>
      <c r="H873" s="218"/>
      <c r="I873" s="218"/>
      <c r="J873" s="275"/>
      <c r="K873" s="386"/>
      <c r="L873" s="275"/>
      <c r="M873" s="150"/>
      <c r="N873" s="151"/>
      <c r="O873" s="152"/>
      <c r="P873" s="152"/>
      <c r="Q873" s="153"/>
      <c r="S873" s="88"/>
      <c r="T873" s="88"/>
    </row>
    <row r="874" spans="1:20" ht="13.5" thickBot="1">
      <c r="A874" s="1037"/>
      <c r="B874" s="45">
        <v>10</v>
      </c>
      <c r="C874" s="258"/>
      <c r="D874" s="138"/>
      <c r="E874" s="138"/>
      <c r="F874" s="251"/>
      <c r="G874" s="251"/>
      <c r="H874" s="251"/>
      <c r="I874" s="251"/>
      <c r="J874" s="365"/>
      <c r="K874" s="387"/>
      <c r="L874" s="365"/>
      <c r="M874" s="154"/>
      <c r="N874" s="155"/>
      <c r="O874" s="156"/>
      <c r="P874" s="156"/>
      <c r="Q874" s="157"/>
      <c r="S874" s="88"/>
      <c r="T874" s="88"/>
    </row>
    <row r="875" spans="19:20" ht="12.75">
      <c r="S875" s="88"/>
      <c r="T875" s="88"/>
    </row>
    <row r="876" spans="19:20" ht="12.75">
      <c r="S876" s="88"/>
      <c r="T876" s="88"/>
    </row>
    <row r="877" spans="19:20" ht="12.75">
      <c r="S877" s="88"/>
      <c r="T877" s="88"/>
    </row>
    <row r="878" spans="1:20" ht="15">
      <c r="A878" s="967" t="s">
        <v>47</v>
      </c>
      <c r="B878" s="967"/>
      <c r="C878" s="967"/>
      <c r="D878" s="967"/>
      <c r="E878" s="967"/>
      <c r="F878" s="967"/>
      <c r="G878" s="967"/>
      <c r="H878" s="967"/>
      <c r="I878" s="967"/>
      <c r="J878" s="967"/>
      <c r="K878" s="967"/>
      <c r="L878" s="967"/>
      <c r="M878" s="967"/>
      <c r="N878" s="967"/>
      <c r="O878" s="967"/>
      <c r="P878" s="967"/>
      <c r="Q878" s="967"/>
      <c r="S878" s="88"/>
      <c r="T878" s="88"/>
    </row>
    <row r="879" spans="1:20" ht="13.5" thickBot="1">
      <c r="A879" s="968" t="s">
        <v>782</v>
      </c>
      <c r="B879" s="968"/>
      <c r="C879" s="968"/>
      <c r="D879" s="968"/>
      <c r="E879" s="968"/>
      <c r="F879" s="968"/>
      <c r="G879" s="968"/>
      <c r="H879" s="968"/>
      <c r="I879" s="968"/>
      <c r="J879" s="968"/>
      <c r="K879" s="968"/>
      <c r="L879" s="968"/>
      <c r="M879" s="968"/>
      <c r="N879" s="968"/>
      <c r="O879" s="968"/>
      <c r="P879" s="968"/>
      <c r="Q879" s="968"/>
      <c r="S879" s="88"/>
      <c r="T879" s="88"/>
    </row>
    <row r="880" spans="1:20" ht="12.75" customHeight="1">
      <c r="A880" s="952" t="s">
        <v>1</v>
      </c>
      <c r="B880" s="955" t="s">
        <v>0</v>
      </c>
      <c r="C880" s="944" t="s">
        <v>2</v>
      </c>
      <c r="D880" s="944" t="s">
        <v>3</v>
      </c>
      <c r="E880" s="944" t="s">
        <v>13</v>
      </c>
      <c r="F880" s="960" t="s">
        <v>14</v>
      </c>
      <c r="G880" s="961"/>
      <c r="H880" s="961"/>
      <c r="I880" s="962"/>
      <c r="J880" s="944" t="s">
        <v>4</v>
      </c>
      <c r="K880" s="944" t="s">
        <v>15</v>
      </c>
      <c r="L880" s="944" t="s">
        <v>5</v>
      </c>
      <c r="M880" s="944" t="s">
        <v>6</v>
      </c>
      <c r="N880" s="944" t="s">
        <v>16</v>
      </c>
      <c r="O880" s="969" t="s">
        <v>17</v>
      </c>
      <c r="P880" s="944" t="s">
        <v>25</v>
      </c>
      <c r="Q880" s="929" t="s">
        <v>26</v>
      </c>
      <c r="S880" s="88"/>
      <c r="T880" s="88"/>
    </row>
    <row r="881" spans="1:20" s="2" customFormat="1" ht="33.75">
      <c r="A881" s="953"/>
      <c r="B881" s="956"/>
      <c r="C881" s="958"/>
      <c r="D881" s="945"/>
      <c r="E881" s="945"/>
      <c r="F881" s="37" t="s">
        <v>18</v>
      </c>
      <c r="G881" s="37" t="s">
        <v>19</v>
      </c>
      <c r="H881" s="37" t="s">
        <v>20</v>
      </c>
      <c r="I881" s="37" t="s">
        <v>21</v>
      </c>
      <c r="J881" s="945"/>
      <c r="K881" s="945"/>
      <c r="L881" s="945"/>
      <c r="M881" s="945"/>
      <c r="N881" s="945"/>
      <c r="O881" s="970"/>
      <c r="P881" s="945"/>
      <c r="Q881" s="930"/>
      <c r="S881" s="88"/>
      <c r="T881" s="88"/>
    </row>
    <row r="882" spans="1:20" s="3" customFormat="1" ht="13.5" customHeight="1" thickBot="1">
      <c r="A882" s="954"/>
      <c r="B882" s="957"/>
      <c r="C882" s="959"/>
      <c r="D882" s="58" t="s">
        <v>7</v>
      </c>
      <c r="E882" s="58" t="s">
        <v>8</v>
      </c>
      <c r="F882" s="58" t="s">
        <v>9</v>
      </c>
      <c r="G882" s="58" t="s">
        <v>9</v>
      </c>
      <c r="H882" s="58" t="s">
        <v>9</v>
      </c>
      <c r="I882" s="58" t="s">
        <v>9</v>
      </c>
      <c r="J882" s="58" t="s">
        <v>22</v>
      </c>
      <c r="K882" s="58" t="s">
        <v>9</v>
      </c>
      <c r="L882" s="58" t="s">
        <v>22</v>
      </c>
      <c r="M882" s="58" t="s">
        <v>23</v>
      </c>
      <c r="N882" s="58" t="s">
        <v>10</v>
      </c>
      <c r="O882" s="58" t="s">
        <v>24</v>
      </c>
      <c r="P882" s="59" t="s">
        <v>27</v>
      </c>
      <c r="Q882" s="60" t="s">
        <v>28</v>
      </c>
      <c r="S882" s="88"/>
      <c r="T882" s="88"/>
    </row>
    <row r="883" spans="1:20" ht="12.75" customHeight="1">
      <c r="A883" s="949" t="s">
        <v>29</v>
      </c>
      <c r="B883" s="752">
        <v>1</v>
      </c>
      <c r="C883" s="709" t="s">
        <v>766</v>
      </c>
      <c r="D883" s="710">
        <v>35</v>
      </c>
      <c r="E883" s="710" t="s">
        <v>767</v>
      </c>
      <c r="F883" s="712">
        <v>36.419</v>
      </c>
      <c r="G883" s="712">
        <v>4.665</v>
      </c>
      <c r="H883" s="712">
        <v>5.6</v>
      </c>
      <c r="I883" s="711">
        <v>26.154</v>
      </c>
      <c r="J883" s="759"/>
      <c r="K883" s="712">
        <v>26.154</v>
      </c>
      <c r="L883" s="713">
        <v>2248.65</v>
      </c>
      <c r="M883" s="714">
        <f aca="true" t="shared" si="134" ref="M883:M904">K883/L883</f>
        <v>0.01163097858715229</v>
      </c>
      <c r="N883" s="715">
        <v>270.21</v>
      </c>
      <c r="O883" s="716">
        <f aca="true" t="shared" si="135" ref="O883:O904">M883*N883</f>
        <v>3.14280672403442</v>
      </c>
      <c r="P883" s="716">
        <f aca="true" t="shared" si="136" ref="P883:P904">M883*60*1000</f>
        <v>697.8587152291375</v>
      </c>
      <c r="Q883" s="717">
        <f aca="true" t="shared" si="137" ref="Q883:Q904">P883*N883/1000</f>
        <v>188.56840344206523</v>
      </c>
      <c r="R883" s="6"/>
      <c r="S883" s="88"/>
      <c r="T883" s="88"/>
    </row>
    <row r="884" spans="1:20" ht="12.75">
      <c r="A884" s="950"/>
      <c r="B884" s="725">
        <v>2</v>
      </c>
      <c r="C884" s="709" t="s">
        <v>768</v>
      </c>
      <c r="D884" s="710">
        <v>60</v>
      </c>
      <c r="E884" s="710" t="s">
        <v>767</v>
      </c>
      <c r="F884" s="711">
        <v>51.076</v>
      </c>
      <c r="G884" s="711">
        <v>6.648</v>
      </c>
      <c r="H884" s="711">
        <v>9.6</v>
      </c>
      <c r="I884" s="711">
        <v>34.828</v>
      </c>
      <c r="J884" s="754"/>
      <c r="K884" s="711">
        <v>34.828</v>
      </c>
      <c r="L884" s="719">
        <v>2740.77</v>
      </c>
      <c r="M884" s="714">
        <f t="shared" si="134"/>
        <v>0.01270737785366886</v>
      </c>
      <c r="N884" s="715">
        <v>270.21</v>
      </c>
      <c r="O884" s="716">
        <f t="shared" si="135"/>
        <v>3.4336605698398626</v>
      </c>
      <c r="P884" s="716">
        <f t="shared" si="136"/>
        <v>762.4426712201316</v>
      </c>
      <c r="Q884" s="717">
        <f t="shared" si="137"/>
        <v>206.01963419039174</v>
      </c>
      <c r="R884" s="6"/>
      <c r="S884" s="88"/>
      <c r="T884" s="88"/>
    </row>
    <row r="885" spans="1:20" ht="12.75">
      <c r="A885" s="950"/>
      <c r="B885" s="725">
        <v>3</v>
      </c>
      <c r="C885" s="709" t="s">
        <v>383</v>
      </c>
      <c r="D885" s="710">
        <v>50</v>
      </c>
      <c r="E885" s="710" t="s">
        <v>767</v>
      </c>
      <c r="F885" s="711">
        <v>52.111</v>
      </c>
      <c r="G885" s="711">
        <v>6.659</v>
      </c>
      <c r="H885" s="711">
        <v>8</v>
      </c>
      <c r="I885" s="711">
        <v>37.452</v>
      </c>
      <c r="J885" s="754"/>
      <c r="K885" s="711">
        <v>37.452</v>
      </c>
      <c r="L885" s="719">
        <v>2659.12</v>
      </c>
      <c r="M885" s="721">
        <f t="shared" si="134"/>
        <v>0.014084358735220674</v>
      </c>
      <c r="N885" s="715">
        <v>270.21</v>
      </c>
      <c r="O885" s="716">
        <f t="shared" si="135"/>
        <v>3.8057345738439783</v>
      </c>
      <c r="P885" s="716">
        <f t="shared" si="136"/>
        <v>845.0615241132405</v>
      </c>
      <c r="Q885" s="722">
        <f t="shared" si="137"/>
        <v>228.3440744306387</v>
      </c>
      <c r="R885" s="6"/>
      <c r="S885" s="88"/>
      <c r="T885" s="88"/>
    </row>
    <row r="886" spans="1:20" ht="12.75">
      <c r="A886" s="950"/>
      <c r="B886" s="725">
        <v>4</v>
      </c>
      <c r="C886" s="709" t="s">
        <v>769</v>
      </c>
      <c r="D886" s="710">
        <v>50</v>
      </c>
      <c r="E886" s="710" t="s">
        <v>767</v>
      </c>
      <c r="F886" s="711">
        <v>53.464</v>
      </c>
      <c r="G886" s="711">
        <v>8.553</v>
      </c>
      <c r="H886" s="711">
        <v>8</v>
      </c>
      <c r="I886" s="711">
        <v>36.911</v>
      </c>
      <c r="J886" s="754"/>
      <c r="K886" s="711">
        <v>36.911</v>
      </c>
      <c r="L886" s="719">
        <v>2614.21</v>
      </c>
      <c r="M886" s="721">
        <f t="shared" si="134"/>
        <v>0.014119370670298103</v>
      </c>
      <c r="N886" s="715">
        <v>270.21</v>
      </c>
      <c r="O886" s="723">
        <f t="shared" si="135"/>
        <v>3.81519514882125</v>
      </c>
      <c r="P886" s="716">
        <f t="shared" si="136"/>
        <v>847.1622402178862</v>
      </c>
      <c r="Q886" s="722">
        <f t="shared" si="137"/>
        <v>228.91170892927502</v>
      </c>
      <c r="R886" s="6"/>
      <c r="S886" s="88"/>
      <c r="T886" s="88"/>
    </row>
    <row r="887" spans="1:20" ht="12.75">
      <c r="A887" s="950"/>
      <c r="B887" s="725">
        <v>5</v>
      </c>
      <c r="C887" s="709" t="s">
        <v>770</v>
      </c>
      <c r="D887" s="710">
        <v>60</v>
      </c>
      <c r="E887" s="710" t="s">
        <v>767</v>
      </c>
      <c r="F887" s="711">
        <v>57.229</v>
      </c>
      <c r="G887" s="711">
        <v>9.608</v>
      </c>
      <c r="H887" s="711">
        <v>9.6</v>
      </c>
      <c r="I887" s="711">
        <v>38.021</v>
      </c>
      <c r="J887" s="754"/>
      <c r="K887" s="711">
        <v>38.021</v>
      </c>
      <c r="L887" s="719">
        <v>2690.2</v>
      </c>
      <c r="M887" s="721">
        <f t="shared" si="134"/>
        <v>0.014133149951676456</v>
      </c>
      <c r="N887" s="715">
        <v>270.21</v>
      </c>
      <c r="O887" s="723">
        <f t="shared" si="135"/>
        <v>3.8189184484424947</v>
      </c>
      <c r="P887" s="716">
        <f t="shared" si="136"/>
        <v>847.9889971005874</v>
      </c>
      <c r="Q887" s="722">
        <f t="shared" si="137"/>
        <v>229.1351069065497</v>
      </c>
      <c r="R887" s="6"/>
      <c r="S887" s="88"/>
      <c r="T887" s="88"/>
    </row>
    <row r="888" spans="1:20" ht="12.75">
      <c r="A888" s="950"/>
      <c r="B888" s="725">
        <v>6</v>
      </c>
      <c r="C888" s="709" t="s">
        <v>771</v>
      </c>
      <c r="D888" s="710">
        <v>30</v>
      </c>
      <c r="E888" s="710" t="s">
        <v>767</v>
      </c>
      <c r="F888" s="711">
        <v>30.46</v>
      </c>
      <c r="G888" s="711">
        <v>2.949</v>
      </c>
      <c r="H888" s="711">
        <v>4.8</v>
      </c>
      <c r="I888" s="711">
        <v>22.711</v>
      </c>
      <c r="J888" s="754"/>
      <c r="K888" s="711">
        <v>22.711</v>
      </c>
      <c r="L888" s="719">
        <v>1592</v>
      </c>
      <c r="M888" s="721">
        <f t="shared" si="134"/>
        <v>0.014265703517587939</v>
      </c>
      <c r="N888" s="715">
        <v>270.21</v>
      </c>
      <c r="O888" s="723">
        <f t="shared" si="135"/>
        <v>3.8547357474874366</v>
      </c>
      <c r="P888" s="716">
        <f t="shared" si="136"/>
        <v>855.9422110552764</v>
      </c>
      <c r="Q888" s="722">
        <f t="shared" si="137"/>
        <v>231.28414484924622</v>
      </c>
      <c r="R888" s="6"/>
      <c r="S888" s="88"/>
      <c r="T888" s="88"/>
    </row>
    <row r="889" spans="1:20" ht="12.75">
      <c r="A889" s="950"/>
      <c r="B889" s="725">
        <v>7</v>
      </c>
      <c r="C889" s="709" t="s">
        <v>385</v>
      </c>
      <c r="D889" s="710">
        <v>30</v>
      </c>
      <c r="E889" s="710" t="s">
        <v>767</v>
      </c>
      <c r="F889" s="711">
        <v>33.783</v>
      </c>
      <c r="G889" s="711">
        <v>3.666</v>
      </c>
      <c r="H889" s="711">
        <v>4.8</v>
      </c>
      <c r="I889" s="711">
        <v>25.317</v>
      </c>
      <c r="J889" s="754"/>
      <c r="K889" s="711">
        <v>25.317</v>
      </c>
      <c r="L889" s="719">
        <v>1734.68</v>
      </c>
      <c r="M889" s="721">
        <f t="shared" si="134"/>
        <v>0.014594622639334056</v>
      </c>
      <c r="N889" s="715">
        <v>270.21</v>
      </c>
      <c r="O889" s="723">
        <f t="shared" si="135"/>
        <v>3.943612983374455</v>
      </c>
      <c r="P889" s="716">
        <f t="shared" si="136"/>
        <v>875.6773583600434</v>
      </c>
      <c r="Q889" s="722">
        <f t="shared" si="137"/>
        <v>236.61677900246733</v>
      </c>
      <c r="R889" s="6"/>
      <c r="S889" s="88"/>
      <c r="T889" s="88"/>
    </row>
    <row r="890" spans="1:20" ht="12.75">
      <c r="A890" s="950"/>
      <c r="B890" s="725">
        <v>8</v>
      </c>
      <c r="C890" s="709" t="s">
        <v>772</v>
      </c>
      <c r="D890" s="710">
        <v>20</v>
      </c>
      <c r="E890" s="710" t="s">
        <v>767</v>
      </c>
      <c r="F890" s="774">
        <v>23.27</v>
      </c>
      <c r="G890" s="711">
        <v>4.518</v>
      </c>
      <c r="H890" s="711">
        <v>3.2</v>
      </c>
      <c r="I890" s="711">
        <v>15.552</v>
      </c>
      <c r="J890" s="754"/>
      <c r="K890" s="711">
        <v>15.552</v>
      </c>
      <c r="L890" s="719">
        <v>1064.2</v>
      </c>
      <c r="M890" s="721">
        <f t="shared" si="134"/>
        <v>0.014613794399548956</v>
      </c>
      <c r="N890" s="715">
        <v>270.21</v>
      </c>
      <c r="O890" s="723">
        <f t="shared" si="135"/>
        <v>3.9487933847021233</v>
      </c>
      <c r="P890" s="716">
        <f t="shared" si="136"/>
        <v>876.8276639729373</v>
      </c>
      <c r="Q890" s="722">
        <f t="shared" si="137"/>
        <v>236.92760308212738</v>
      </c>
      <c r="R890" s="6"/>
      <c r="S890" s="88"/>
      <c r="T890" s="88"/>
    </row>
    <row r="891" spans="1:20" ht="13.5" customHeight="1">
      <c r="A891" s="950"/>
      <c r="B891" s="725">
        <v>9</v>
      </c>
      <c r="C891" s="709" t="s">
        <v>773</v>
      </c>
      <c r="D891" s="710">
        <v>49</v>
      </c>
      <c r="E891" s="710" t="s">
        <v>767</v>
      </c>
      <c r="F891" s="711">
        <v>41.17</v>
      </c>
      <c r="G891" s="711">
        <v>6.332</v>
      </c>
      <c r="H891" s="711">
        <v>7.84</v>
      </c>
      <c r="I891" s="711">
        <v>26.998</v>
      </c>
      <c r="J891" s="754"/>
      <c r="K891" s="711">
        <v>26.998</v>
      </c>
      <c r="L891" s="719">
        <v>1826.44</v>
      </c>
      <c r="M891" s="721">
        <f t="shared" si="134"/>
        <v>0.014781761240445895</v>
      </c>
      <c r="N891" s="715">
        <v>270.21</v>
      </c>
      <c r="O891" s="723">
        <f t="shared" si="135"/>
        <v>3.994179704780885</v>
      </c>
      <c r="P891" s="716">
        <f t="shared" si="136"/>
        <v>886.9056744267538</v>
      </c>
      <c r="Q891" s="722">
        <f t="shared" si="137"/>
        <v>239.65078228685312</v>
      </c>
      <c r="R891" s="6"/>
      <c r="S891" s="88"/>
      <c r="T891" s="88"/>
    </row>
    <row r="892" spans="1:20" ht="13.5" customHeight="1" thickBot="1">
      <c r="A892" s="951"/>
      <c r="B892" s="734">
        <v>10</v>
      </c>
      <c r="C892" s="745" t="s">
        <v>774</v>
      </c>
      <c r="D892" s="746">
        <v>39</v>
      </c>
      <c r="E892" s="746" t="s">
        <v>767</v>
      </c>
      <c r="F892" s="747">
        <v>43.855</v>
      </c>
      <c r="G892" s="747">
        <v>4.832</v>
      </c>
      <c r="H892" s="747">
        <v>6.24</v>
      </c>
      <c r="I892" s="747">
        <v>32.783</v>
      </c>
      <c r="J892" s="762"/>
      <c r="K892" s="747">
        <v>32.783</v>
      </c>
      <c r="L892" s="748">
        <v>2194.28</v>
      </c>
      <c r="M892" s="749">
        <f t="shared" si="134"/>
        <v>0.014940208177625461</v>
      </c>
      <c r="N892" s="757">
        <v>270.21</v>
      </c>
      <c r="O892" s="750">
        <f t="shared" si="135"/>
        <v>4.036993651676176</v>
      </c>
      <c r="P892" s="750">
        <f t="shared" si="136"/>
        <v>896.4124906575277</v>
      </c>
      <c r="Q892" s="751">
        <f t="shared" si="137"/>
        <v>242.21961910057053</v>
      </c>
      <c r="R892" s="6"/>
      <c r="S892" s="88"/>
      <c r="T892" s="88"/>
    </row>
    <row r="893" spans="1:20" ht="12.75">
      <c r="A893" s="918" t="s">
        <v>30</v>
      </c>
      <c r="B893" s="32">
        <v>1</v>
      </c>
      <c r="C893" s="215" t="s">
        <v>384</v>
      </c>
      <c r="D893" s="217">
        <v>30</v>
      </c>
      <c r="E893" s="217" t="s">
        <v>767</v>
      </c>
      <c r="F893" s="313">
        <v>35.044</v>
      </c>
      <c r="G893" s="313">
        <v>2.944</v>
      </c>
      <c r="H893" s="313">
        <v>4.8</v>
      </c>
      <c r="I893" s="313">
        <v>27.3</v>
      </c>
      <c r="J893" s="354"/>
      <c r="K893" s="313">
        <v>27.3</v>
      </c>
      <c r="L893" s="390">
        <v>1733.33</v>
      </c>
      <c r="M893" s="209">
        <f t="shared" si="134"/>
        <v>0.015750030288519786</v>
      </c>
      <c r="N893" s="220">
        <v>270.21</v>
      </c>
      <c r="O893" s="208">
        <f t="shared" si="135"/>
        <v>4.255815684260931</v>
      </c>
      <c r="P893" s="208">
        <f t="shared" si="136"/>
        <v>945.0018173111871</v>
      </c>
      <c r="Q893" s="210">
        <f t="shared" si="137"/>
        <v>255.34894105565587</v>
      </c>
      <c r="S893" s="88"/>
      <c r="T893" s="88"/>
    </row>
    <row r="894" spans="1:20" ht="12.75">
      <c r="A894" s="919"/>
      <c r="B894" s="34">
        <v>2</v>
      </c>
      <c r="C894" s="205" t="s">
        <v>775</v>
      </c>
      <c r="D894" s="135">
        <v>9</v>
      </c>
      <c r="E894" s="135" t="s">
        <v>767</v>
      </c>
      <c r="F894" s="222">
        <v>10.659</v>
      </c>
      <c r="G894" s="222">
        <v>0</v>
      </c>
      <c r="H894" s="222">
        <v>1.44</v>
      </c>
      <c r="I894" s="222">
        <v>9.219</v>
      </c>
      <c r="J894" s="206"/>
      <c r="K894" s="222">
        <v>9.219</v>
      </c>
      <c r="L894" s="277">
        <v>524.62</v>
      </c>
      <c r="M894" s="146">
        <f t="shared" si="134"/>
        <v>0.017572719301589722</v>
      </c>
      <c r="N894" s="220">
        <v>270.21</v>
      </c>
      <c r="O894" s="148">
        <f t="shared" si="135"/>
        <v>4.748324482482558</v>
      </c>
      <c r="P894" s="208">
        <f t="shared" si="136"/>
        <v>1054.3631580953834</v>
      </c>
      <c r="Q894" s="149">
        <f t="shared" si="137"/>
        <v>284.8994689489535</v>
      </c>
      <c r="S894" s="88"/>
      <c r="T894" s="88"/>
    </row>
    <row r="895" spans="1:20" ht="12.75">
      <c r="A895" s="919"/>
      <c r="B895" s="34">
        <v>3</v>
      </c>
      <c r="C895" s="205" t="s">
        <v>776</v>
      </c>
      <c r="D895" s="135">
        <v>25</v>
      </c>
      <c r="E895" s="135" t="s">
        <v>767</v>
      </c>
      <c r="F895" s="222">
        <v>32.818</v>
      </c>
      <c r="G895" s="222">
        <v>4.249</v>
      </c>
      <c r="H895" s="222">
        <v>4</v>
      </c>
      <c r="I895" s="222">
        <v>24.569</v>
      </c>
      <c r="J895" s="206"/>
      <c r="K895" s="222">
        <v>24.569</v>
      </c>
      <c r="L895" s="277">
        <v>1367.27</v>
      </c>
      <c r="M895" s="146">
        <f t="shared" si="134"/>
        <v>0.01796938424744198</v>
      </c>
      <c r="N895" s="220">
        <v>270.21</v>
      </c>
      <c r="O895" s="148">
        <f t="shared" si="135"/>
        <v>4.8555073175012975</v>
      </c>
      <c r="P895" s="208">
        <f t="shared" si="136"/>
        <v>1078.163054846519</v>
      </c>
      <c r="Q895" s="149">
        <f t="shared" si="137"/>
        <v>291.33043905007787</v>
      </c>
      <c r="S895" s="88"/>
      <c r="T895" s="88"/>
    </row>
    <row r="896" spans="1:20" ht="12.75">
      <c r="A896" s="919"/>
      <c r="B896" s="34">
        <v>4</v>
      </c>
      <c r="C896" s="205" t="s">
        <v>463</v>
      </c>
      <c r="D896" s="135">
        <v>24</v>
      </c>
      <c r="E896" s="135" t="s">
        <v>767</v>
      </c>
      <c r="F896" s="222">
        <v>24.717</v>
      </c>
      <c r="G896" s="222">
        <v>1.547</v>
      </c>
      <c r="H896" s="222">
        <v>3.84</v>
      </c>
      <c r="I896" s="222">
        <v>19.33</v>
      </c>
      <c r="J896" s="206"/>
      <c r="K896" s="222">
        <v>19.33</v>
      </c>
      <c r="L896" s="277">
        <v>1073.73</v>
      </c>
      <c r="M896" s="146">
        <f t="shared" si="134"/>
        <v>0.01800266361189498</v>
      </c>
      <c r="N896" s="220">
        <v>270.21</v>
      </c>
      <c r="O896" s="148">
        <f t="shared" si="135"/>
        <v>4.864499734570143</v>
      </c>
      <c r="P896" s="208">
        <f t="shared" si="136"/>
        <v>1080.159816713699</v>
      </c>
      <c r="Q896" s="149">
        <f t="shared" si="137"/>
        <v>291.8699840742086</v>
      </c>
      <c r="S896" s="88"/>
      <c r="T896" s="88"/>
    </row>
    <row r="897" spans="1:20" ht="12.75">
      <c r="A897" s="919"/>
      <c r="B897" s="34">
        <v>5</v>
      </c>
      <c r="C897" s="205" t="s">
        <v>777</v>
      </c>
      <c r="D897" s="135">
        <v>20</v>
      </c>
      <c r="E897" s="135" t="s">
        <v>767</v>
      </c>
      <c r="F897" s="222">
        <v>26.568</v>
      </c>
      <c r="G897" s="222">
        <v>3.055</v>
      </c>
      <c r="H897" s="222">
        <v>3.2</v>
      </c>
      <c r="I897" s="222">
        <v>20.313</v>
      </c>
      <c r="J897" s="206"/>
      <c r="K897" s="222">
        <v>20.313</v>
      </c>
      <c r="L897" s="277">
        <v>1084.65</v>
      </c>
      <c r="M897" s="146">
        <f t="shared" si="134"/>
        <v>0.018727700179781495</v>
      </c>
      <c r="N897" s="220">
        <v>270.21</v>
      </c>
      <c r="O897" s="148">
        <f t="shared" si="135"/>
        <v>5.060411865578757</v>
      </c>
      <c r="P897" s="208">
        <f t="shared" si="136"/>
        <v>1123.6620107868898</v>
      </c>
      <c r="Q897" s="149">
        <f t="shared" si="137"/>
        <v>303.62471193472544</v>
      </c>
      <c r="S897" s="88"/>
      <c r="T897" s="88"/>
    </row>
    <row r="898" spans="1:20" ht="12.75">
      <c r="A898" s="919"/>
      <c r="B898" s="34">
        <v>6</v>
      </c>
      <c r="C898" s="205" t="s">
        <v>778</v>
      </c>
      <c r="D898" s="135">
        <v>38</v>
      </c>
      <c r="E898" s="135" t="s">
        <v>767</v>
      </c>
      <c r="F898" s="222">
        <v>53.089</v>
      </c>
      <c r="G898" s="222">
        <v>3.721</v>
      </c>
      <c r="H898" s="222">
        <v>6.08</v>
      </c>
      <c r="I898" s="222">
        <v>43.288</v>
      </c>
      <c r="J898" s="206"/>
      <c r="K898" s="222">
        <v>43.288</v>
      </c>
      <c r="L898" s="277">
        <v>2196.68</v>
      </c>
      <c r="M898" s="146">
        <f t="shared" si="134"/>
        <v>0.019706101935648344</v>
      </c>
      <c r="N898" s="220">
        <v>270.21</v>
      </c>
      <c r="O898" s="148">
        <f t="shared" si="135"/>
        <v>5.324785804031539</v>
      </c>
      <c r="P898" s="208">
        <f t="shared" si="136"/>
        <v>1182.3661161389005</v>
      </c>
      <c r="Q898" s="149">
        <f t="shared" si="137"/>
        <v>319.48714824189227</v>
      </c>
      <c r="S898" s="88"/>
      <c r="T898" s="88"/>
    </row>
    <row r="899" spans="1:20" ht="12.75">
      <c r="A899" s="919"/>
      <c r="B899" s="34">
        <v>7</v>
      </c>
      <c r="C899" s="205" t="s">
        <v>779</v>
      </c>
      <c r="D899" s="135">
        <v>26</v>
      </c>
      <c r="E899" s="135" t="s">
        <v>767</v>
      </c>
      <c r="F899" s="222">
        <v>33.11</v>
      </c>
      <c r="G899" s="222">
        <v>3.046</v>
      </c>
      <c r="H899" s="222">
        <v>0.26</v>
      </c>
      <c r="I899" s="222">
        <v>29.804</v>
      </c>
      <c r="J899" s="206"/>
      <c r="K899" s="222">
        <v>29.804</v>
      </c>
      <c r="L899" s="277">
        <v>1331.33</v>
      </c>
      <c r="M899" s="146">
        <f t="shared" si="134"/>
        <v>0.022386635920470507</v>
      </c>
      <c r="N899" s="220">
        <v>270.21</v>
      </c>
      <c r="O899" s="148">
        <f t="shared" si="135"/>
        <v>6.049092892070336</v>
      </c>
      <c r="P899" s="208">
        <f t="shared" si="136"/>
        <v>1343.1981552282305</v>
      </c>
      <c r="Q899" s="149">
        <f t="shared" si="137"/>
        <v>362.94557352422015</v>
      </c>
      <c r="S899" s="88"/>
      <c r="T899" s="88"/>
    </row>
    <row r="900" spans="1:20" ht="12.75">
      <c r="A900" s="919"/>
      <c r="B900" s="34">
        <v>8</v>
      </c>
      <c r="C900" s="205" t="s">
        <v>780</v>
      </c>
      <c r="D900" s="135">
        <v>6</v>
      </c>
      <c r="E900" s="135" t="s">
        <v>767</v>
      </c>
      <c r="F900" s="222">
        <v>7.497</v>
      </c>
      <c r="G900" s="222">
        <v>0.5</v>
      </c>
      <c r="H900" s="222">
        <v>0.96</v>
      </c>
      <c r="I900" s="222">
        <v>6.037</v>
      </c>
      <c r="J900" s="206"/>
      <c r="K900" s="222">
        <v>6.037</v>
      </c>
      <c r="L900" s="277">
        <v>267.1</v>
      </c>
      <c r="M900" s="146">
        <f t="shared" si="134"/>
        <v>0.022602021714713587</v>
      </c>
      <c r="N900" s="220">
        <v>270.21</v>
      </c>
      <c r="O900" s="148">
        <f t="shared" si="135"/>
        <v>6.107292287532758</v>
      </c>
      <c r="P900" s="208">
        <f t="shared" si="136"/>
        <v>1356.1213028828151</v>
      </c>
      <c r="Q900" s="149">
        <f t="shared" si="137"/>
        <v>366.4375372519654</v>
      </c>
      <c r="S900" s="88"/>
      <c r="T900" s="88"/>
    </row>
    <row r="901" spans="1:20" ht="12.75">
      <c r="A901" s="920"/>
      <c r="B901" s="75">
        <v>9</v>
      </c>
      <c r="C901" s="205" t="s">
        <v>464</v>
      </c>
      <c r="D901" s="135">
        <v>12</v>
      </c>
      <c r="E901" s="135" t="s">
        <v>767</v>
      </c>
      <c r="F901" s="222">
        <v>15.326</v>
      </c>
      <c r="G901" s="222">
        <v>0.889</v>
      </c>
      <c r="H901" s="222">
        <v>1.92</v>
      </c>
      <c r="I901" s="222">
        <v>12.517</v>
      </c>
      <c r="J901" s="206"/>
      <c r="K901" s="222">
        <v>12.517</v>
      </c>
      <c r="L901" s="277">
        <v>533.8</v>
      </c>
      <c r="M901" s="146">
        <f t="shared" si="134"/>
        <v>0.023448857249906332</v>
      </c>
      <c r="N901" s="220">
        <v>270.21</v>
      </c>
      <c r="O901" s="148">
        <f t="shared" si="135"/>
        <v>6.336115717497189</v>
      </c>
      <c r="P901" s="208">
        <f t="shared" si="136"/>
        <v>1406.93143499438</v>
      </c>
      <c r="Q901" s="149">
        <f t="shared" si="137"/>
        <v>380.1669430498314</v>
      </c>
      <c r="S901" s="88"/>
      <c r="T901" s="88"/>
    </row>
    <row r="902" spans="1:20" ht="13.5" thickBot="1">
      <c r="A902" s="921"/>
      <c r="B902" s="36">
        <v>10</v>
      </c>
      <c r="C902" s="216" t="s">
        <v>386</v>
      </c>
      <c r="D902" s="136">
        <v>7</v>
      </c>
      <c r="E902" s="136" t="s">
        <v>767</v>
      </c>
      <c r="F902" s="312">
        <v>9.663</v>
      </c>
      <c r="G902" s="312">
        <v>1.055</v>
      </c>
      <c r="H902" s="312">
        <v>1.12</v>
      </c>
      <c r="I902" s="312">
        <v>7.487</v>
      </c>
      <c r="J902" s="358"/>
      <c r="K902" s="312">
        <v>7.487</v>
      </c>
      <c r="L902" s="278">
        <v>308.38</v>
      </c>
      <c r="M902" s="211">
        <f t="shared" si="134"/>
        <v>0.024278487580258124</v>
      </c>
      <c r="N902" s="221">
        <v>270.21</v>
      </c>
      <c r="O902" s="212">
        <f t="shared" si="135"/>
        <v>6.560290129061547</v>
      </c>
      <c r="P902" s="212">
        <f t="shared" si="136"/>
        <v>1456.7092548154874</v>
      </c>
      <c r="Q902" s="213">
        <f t="shared" si="137"/>
        <v>393.6174077436928</v>
      </c>
      <c r="S902" s="88"/>
      <c r="T902" s="88"/>
    </row>
    <row r="903" spans="1:20" ht="13.5" customHeight="1">
      <c r="A903" s="1082" t="s">
        <v>12</v>
      </c>
      <c r="B903" s="39">
        <v>1</v>
      </c>
      <c r="C903" s="166" t="s">
        <v>781</v>
      </c>
      <c r="D903" s="167">
        <v>43</v>
      </c>
      <c r="E903" s="369" t="s">
        <v>767</v>
      </c>
      <c r="F903" s="250">
        <v>27.73</v>
      </c>
      <c r="G903" s="250">
        <v>0</v>
      </c>
      <c r="H903" s="250">
        <v>0</v>
      </c>
      <c r="I903" s="250">
        <v>27.73</v>
      </c>
      <c r="J903" s="557"/>
      <c r="K903" s="250">
        <v>27.73</v>
      </c>
      <c r="L903" s="391">
        <v>1068.56</v>
      </c>
      <c r="M903" s="170">
        <f t="shared" si="134"/>
        <v>0.02595081230815303</v>
      </c>
      <c r="N903" s="168">
        <v>270.21</v>
      </c>
      <c r="O903" s="171">
        <f t="shared" si="135"/>
        <v>7.01216899378603</v>
      </c>
      <c r="P903" s="171">
        <f t="shared" si="136"/>
        <v>1557.0487384891817</v>
      </c>
      <c r="Q903" s="172">
        <f t="shared" si="137"/>
        <v>420.73013962716175</v>
      </c>
      <c r="S903" s="88"/>
      <c r="T903" s="88"/>
    </row>
    <row r="904" spans="1:20" ht="12.75">
      <c r="A904" s="974"/>
      <c r="B904" s="79">
        <v>2</v>
      </c>
      <c r="C904" s="169" t="s">
        <v>387</v>
      </c>
      <c r="D904" s="137">
        <v>8</v>
      </c>
      <c r="E904" s="137" t="s">
        <v>767</v>
      </c>
      <c r="F904" s="218">
        <v>12.211</v>
      </c>
      <c r="G904" s="218">
        <v>0.05</v>
      </c>
      <c r="H904" s="218">
        <v>0.03</v>
      </c>
      <c r="I904" s="218">
        <v>12.131</v>
      </c>
      <c r="J904" s="207"/>
      <c r="K904" s="218">
        <v>12.131</v>
      </c>
      <c r="L904" s="275">
        <v>389.52</v>
      </c>
      <c r="M904" s="150">
        <f t="shared" si="134"/>
        <v>0.031143458615732186</v>
      </c>
      <c r="N904" s="168">
        <v>270.21</v>
      </c>
      <c r="O904" s="152">
        <f t="shared" si="135"/>
        <v>8.415273952556994</v>
      </c>
      <c r="P904" s="171">
        <f t="shared" si="136"/>
        <v>1868.6075169439312</v>
      </c>
      <c r="Q904" s="153">
        <f t="shared" si="137"/>
        <v>504.9164371534196</v>
      </c>
      <c r="S904" s="88"/>
      <c r="T904" s="88"/>
    </row>
    <row r="905" spans="1:20" ht="12.75">
      <c r="A905" s="974"/>
      <c r="B905" s="79">
        <v>3</v>
      </c>
      <c r="C905" s="169"/>
      <c r="D905" s="137"/>
      <c r="E905" s="137"/>
      <c r="F905" s="207"/>
      <c r="G905" s="207"/>
      <c r="H905" s="207"/>
      <c r="I905" s="207"/>
      <c r="J905" s="207"/>
      <c r="K905" s="207"/>
      <c r="L905" s="275"/>
      <c r="M905" s="150"/>
      <c r="N905" s="168"/>
      <c r="O905" s="152"/>
      <c r="P905" s="171"/>
      <c r="Q905" s="153"/>
      <c r="S905" s="88"/>
      <c r="T905" s="88"/>
    </row>
    <row r="906" spans="1:20" ht="12.75">
      <c r="A906" s="974"/>
      <c r="B906" s="41">
        <v>4</v>
      </c>
      <c r="C906" s="169"/>
      <c r="D906" s="137"/>
      <c r="E906" s="137"/>
      <c r="F906" s="207"/>
      <c r="G906" s="207"/>
      <c r="H906" s="207"/>
      <c r="I906" s="207"/>
      <c r="J906" s="207"/>
      <c r="K906" s="207"/>
      <c r="L906" s="207"/>
      <c r="M906" s="150"/>
      <c r="N906" s="151"/>
      <c r="O906" s="152"/>
      <c r="P906" s="171"/>
      <c r="Q906" s="153"/>
      <c r="S906" s="88"/>
      <c r="T906" s="88"/>
    </row>
    <row r="907" spans="1:20" ht="12.75">
      <c r="A907" s="974"/>
      <c r="B907" s="41">
        <v>5</v>
      </c>
      <c r="C907" s="169"/>
      <c r="D907" s="137"/>
      <c r="E907" s="137"/>
      <c r="F907" s="443"/>
      <c r="G907" s="443"/>
      <c r="H907" s="443"/>
      <c r="I907" s="443"/>
      <c r="J907" s="443"/>
      <c r="K907" s="282"/>
      <c r="L907" s="443"/>
      <c r="M907" s="426"/>
      <c r="N907" s="427"/>
      <c r="O907" s="428"/>
      <c r="P907" s="442"/>
      <c r="Q907" s="429"/>
      <c r="S907" s="88"/>
      <c r="T907" s="88"/>
    </row>
    <row r="908" spans="1:20" ht="12.75">
      <c r="A908" s="974"/>
      <c r="B908" s="41">
        <v>6</v>
      </c>
      <c r="C908" s="169"/>
      <c r="D908" s="137"/>
      <c r="E908" s="137"/>
      <c r="F908" s="218"/>
      <c r="G908" s="218"/>
      <c r="H908" s="218"/>
      <c r="I908" s="218"/>
      <c r="J908" s="275"/>
      <c r="K908" s="386"/>
      <c r="L908" s="275"/>
      <c r="M908" s="150"/>
      <c r="N908" s="168"/>
      <c r="O908" s="152"/>
      <c r="P908" s="171"/>
      <c r="Q908" s="153"/>
      <c r="S908" s="88"/>
      <c r="T908" s="88"/>
    </row>
    <row r="909" spans="1:20" ht="12.75">
      <c r="A909" s="974"/>
      <c r="B909" s="41">
        <v>7</v>
      </c>
      <c r="C909" s="169"/>
      <c r="D909" s="137"/>
      <c r="E909" s="137"/>
      <c r="F909" s="218"/>
      <c r="G909" s="218"/>
      <c r="H909" s="218"/>
      <c r="I909" s="218"/>
      <c r="J909" s="275"/>
      <c r="K909" s="386"/>
      <c r="L909" s="275"/>
      <c r="M909" s="150"/>
      <c r="N909" s="151"/>
      <c r="O909" s="152"/>
      <c r="P909" s="152"/>
      <c r="Q909" s="153"/>
      <c r="S909" s="88"/>
      <c r="T909" s="88"/>
    </row>
    <row r="910" spans="1:20" ht="13.5" thickBot="1">
      <c r="A910" s="1083"/>
      <c r="B910" s="45">
        <v>8</v>
      </c>
      <c r="C910" s="214"/>
      <c r="D910" s="138"/>
      <c r="E910" s="138"/>
      <c r="F910" s="251"/>
      <c r="G910" s="251"/>
      <c r="H910" s="251"/>
      <c r="I910" s="251"/>
      <c r="J910" s="365"/>
      <c r="K910" s="387"/>
      <c r="L910" s="365"/>
      <c r="M910" s="154"/>
      <c r="N910" s="155"/>
      <c r="O910" s="156"/>
      <c r="P910" s="156"/>
      <c r="Q910" s="157"/>
      <c r="S910" s="88"/>
      <c r="T910" s="88"/>
    </row>
    <row r="911" spans="1:20" ht="12.75">
      <c r="A911" s="444"/>
      <c r="B911" s="445"/>
      <c r="C911" s="446"/>
      <c r="D911" s="447"/>
      <c r="E911" s="447"/>
      <c r="F911" s="448"/>
      <c r="G911" s="448"/>
      <c r="H911" s="448"/>
      <c r="I911" s="448"/>
      <c r="J911" s="449"/>
      <c r="K911" s="450"/>
      <c r="L911" s="449"/>
      <c r="M911" s="451"/>
      <c r="N911" s="452"/>
      <c r="O911" s="453"/>
      <c r="P911" s="453"/>
      <c r="Q911" s="453"/>
      <c r="S911" s="88"/>
      <c r="T911" s="88"/>
    </row>
    <row r="912" spans="1:20" ht="12.75">
      <c r="A912" s="444"/>
      <c r="B912" s="445"/>
      <c r="C912" s="446"/>
      <c r="D912" s="447"/>
      <c r="E912" s="447"/>
      <c r="F912" s="448"/>
      <c r="G912" s="448"/>
      <c r="H912" s="448"/>
      <c r="I912" s="448"/>
      <c r="J912" s="449"/>
      <c r="K912" s="450"/>
      <c r="L912" s="449"/>
      <c r="M912" s="451"/>
      <c r="N912" s="452"/>
      <c r="O912" s="453"/>
      <c r="P912" s="453"/>
      <c r="Q912" s="453"/>
      <c r="S912" s="88"/>
      <c r="T912" s="88"/>
    </row>
    <row r="913" spans="1:20" ht="12.75">
      <c r="A913" s="444"/>
      <c r="B913" s="445"/>
      <c r="C913" s="446"/>
      <c r="D913" s="447"/>
      <c r="E913" s="447"/>
      <c r="F913" s="448"/>
      <c r="G913" s="448"/>
      <c r="H913" s="448"/>
      <c r="I913" s="448"/>
      <c r="J913" s="449"/>
      <c r="K913" s="450"/>
      <c r="L913" s="449"/>
      <c r="M913" s="451"/>
      <c r="N913" s="452"/>
      <c r="O913" s="453"/>
      <c r="P913" s="453"/>
      <c r="Q913" s="453"/>
      <c r="S913" s="88"/>
      <c r="T913" s="88"/>
    </row>
    <row r="914" spans="19:20" ht="12.75">
      <c r="S914" s="88"/>
      <c r="T914" s="88"/>
    </row>
    <row r="915" spans="1:20" ht="15">
      <c r="A915" s="967" t="s">
        <v>57</v>
      </c>
      <c r="B915" s="967"/>
      <c r="C915" s="967"/>
      <c r="D915" s="967"/>
      <c r="E915" s="967"/>
      <c r="F915" s="967"/>
      <c r="G915" s="967"/>
      <c r="H915" s="967"/>
      <c r="I915" s="967"/>
      <c r="J915" s="967"/>
      <c r="K915" s="967"/>
      <c r="L915" s="967"/>
      <c r="M915" s="967"/>
      <c r="N915" s="967"/>
      <c r="O915" s="967"/>
      <c r="P915" s="967"/>
      <c r="Q915" s="967"/>
      <c r="S915" s="88"/>
      <c r="T915" s="88"/>
    </row>
    <row r="916" spans="1:20" ht="13.5" thickBot="1">
      <c r="A916" s="968" t="s">
        <v>783</v>
      </c>
      <c r="B916" s="968"/>
      <c r="C916" s="968"/>
      <c r="D916" s="968"/>
      <c r="E916" s="968"/>
      <c r="F916" s="968"/>
      <c r="G916" s="968"/>
      <c r="H916" s="968"/>
      <c r="I916" s="968"/>
      <c r="J916" s="968"/>
      <c r="K916" s="968"/>
      <c r="L916" s="968"/>
      <c r="M916" s="968"/>
      <c r="N916" s="968"/>
      <c r="O916" s="968"/>
      <c r="P916" s="968"/>
      <c r="Q916" s="968"/>
      <c r="S916" s="88"/>
      <c r="T916" s="88"/>
    </row>
    <row r="917" spans="1:20" ht="12.75" customHeight="1">
      <c r="A917" s="952" t="s">
        <v>1</v>
      </c>
      <c r="B917" s="955" t="s">
        <v>0</v>
      </c>
      <c r="C917" s="944" t="s">
        <v>2</v>
      </c>
      <c r="D917" s="944" t="s">
        <v>3</v>
      </c>
      <c r="E917" s="944" t="s">
        <v>13</v>
      </c>
      <c r="F917" s="960" t="s">
        <v>14</v>
      </c>
      <c r="G917" s="961"/>
      <c r="H917" s="961"/>
      <c r="I917" s="962"/>
      <c r="J917" s="944" t="s">
        <v>4</v>
      </c>
      <c r="K917" s="944" t="s">
        <v>15</v>
      </c>
      <c r="L917" s="944" t="s">
        <v>5</v>
      </c>
      <c r="M917" s="944" t="s">
        <v>6</v>
      </c>
      <c r="N917" s="944" t="s">
        <v>16</v>
      </c>
      <c r="O917" s="969" t="s">
        <v>17</v>
      </c>
      <c r="P917" s="944" t="s">
        <v>25</v>
      </c>
      <c r="Q917" s="929" t="s">
        <v>26</v>
      </c>
      <c r="S917" s="88"/>
      <c r="T917" s="88"/>
    </row>
    <row r="918" spans="1:20" s="2" customFormat="1" ht="33.75">
      <c r="A918" s="953"/>
      <c r="B918" s="956"/>
      <c r="C918" s="958"/>
      <c r="D918" s="945"/>
      <c r="E918" s="945"/>
      <c r="F918" s="37" t="s">
        <v>18</v>
      </c>
      <c r="G918" s="37" t="s">
        <v>19</v>
      </c>
      <c r="H918" s="37" t="s">
        <v>20</v>
      </c>
      <c r="I918" s="37" t="s">
        <v>21</v>
      </c>
      <c r="J918" s="945"/>
      <c r="K918" s="945"/>
      <c r="L918" s="945"/>
      <c r="M918" s="945"/>
      <c r="N918" s="945"/>
      <c r="O918" s="970"/>
      <c r="P918" s="945"/>
      <c r="Q918" s="930"/>
      <c r="S918" s="88"/>
      <c r="T918" s="88"/>
    </row>
    <row r="919" spans="1:20" s="3" customFormat="1" ht="13.5" customHeight="1" thickBot="1">
      <c r="A919" s="954"/>
      <c r="B919" s="957"/>
      <c r="C919" s="959"/>
      <c r="D919" s="58" t="s">
        <v>7</v>
      </c>
      <c r="E919" s="58" t="s">
        <v>8</v>
      </c>
      <c r="F919" s="58" t="s">
        <v>9</v>
      </c>
      <c r="G919" s="58" t="s">
        <v>9</v>
      </c>
      <c r="H919" s="58" t="s">
        <v>9</v>
      </c>
      <c r="I919" s="58" t="s">
        <v>9</v>
      </c>
      <c r="J919" s="58" t="s">
        <v>22</v>
      </c>
      <c r="K919" s="58" t="s">
        <v>9</v>
      </c>
      <c r="L919" s="58" t="s">
        <v>22</v>
      </c>
      <c r="M919" s="58" t="s">
        <v>134</v>
      </c>
      <c r="N919" s="58" t="s">
        <v>10</v>
      </c>
      <c r="O919" s="58" t="s">
        <v>135</v>
      </c>
      <c r="P919" s="59" t="s">
        <v>27</v>
      </c>
      <c r="Q919" s="60" t="s">
        <v>28</v>
      </c>
      <c r="S919" s="88"/>
      <c r="T919" s="88"/>
    </row>
    <row r="920" spans="1:20" s="3" customFormat="1" ht="13.5" customHeight="1">
      <c r="A920" s="922" t="s">
        <v>388</v>
      </c>
      <c r="B920" s="281">
        <v>1</v>
      </c>
      <c r="C920" s="202" t="s">
        <v>784</v>
      </c>
      <c r="D920" s="159">
        <v>25</v>
      </c>
      <c r="E920" s="159">
        <v>1986</v>
      </c>
      <c r="F920" s="253">
        <v>20.95</v>
      </c>
      <c r="G920" s="253">
        <v>2.524</v>
      </c>
      <c r="H920" s="253">
        <v>4</v>
      </c>
      <c r="I920" s="253">
        <v>14.428</v>
      </c>
      <c r="J920" s="270">
        <v>1339.97</v>
      </c>
      <c r="K920" s="253">
        <v>14.428</v>
      </c>
      <c r="L920" s="270">
        <v>1339.97</v>
      </c>
      <c r="M920" s="173">
        <f>K920/L920</f>
        <v>0.01076740524041583</v>
      </c>
      <c r="N920" s="160">
        <v>205.5</v>
      </c>
      <c r="O920" s="164">
        <f>M920*N920</f>
        <v>2.2127017769054533</v>
      </c>
      <c r="P920" s="164">
        <f>M920*60*1000</f>
        <v>646.0443144249498</v>
      </c>
      <c r="Q920" s="203">
        <f>P920*N920/1000</f>
        <v>132.76210661432717</v>
      </c>
      <c r="S920" s="88"/>
      <c r="T920" s="88"/>
    </row>
    <row r="921" spans="1:20" s="3" customFormat="1" ht="13.5" customHeight="1">
      <c r="A921" s="916"/>
      <c r="B921" s="478">
        <v>2</v>
      </c>
      <c r="C921" s="158" t="s">
        <v>785</v>
      </c>
      <c r="D921" s="132">
        <v>30</v>
      </c>
      <c r="E921" s="132">
        <v>1990</v>
      </c>
      <c r="F921" s="248">
        <v>25.662</v>
      </c>
      <c r="G921" s="248">
        <v>3.198</v>
      </c>
      <c r="H921" s="248">
        <v>4.8</v>
      </c>
      <c r="I921" s="248">
        <v>17.664</v>
      </c>
      <c r="J921" s="271">
        <v>1613.98</v>
      </c>
      <c r="K921" s="248">
        <v>17.664</v>
      </c>
      <c r="L921" s="271">
        <v>1613.98</v>
      </c>
      <c r="M921" s="141">
        <f>K921/L921</f>
        <v>0.010944373536227216</v>
      </c>
      <c r="N921" s="142">
        <v>205.5</v>
      </c>
      <c r="O921" s="143">
        <f>M921*N921</f>
        <v>2.249068761694693</v>
      </c>
      <c r="P921" s="164">
        <f>M921*60*1000</f>
        <v>656.662412173633</v>
      </c>
      <c r="Q921" s="144">
        <f>P921*N921/1000</f>
        <v>134.9441257016816</v>
      </c>
      <c r="S921" s="88"/>
      <c r="T921" s="88"/>
    </row>
    <row r="922" spans="1:20" s="3" customFormat="1" ht="13.5" customHeight="1">
      <c r="A922" s="916"/>
      <c r="B922" s="121">
        <v>3</v>
      </c>
      <c r="C922" s="158" t="s">
        <v>786</v>
      </c>
      <c r="D922" s="132">
        <v>22</v>
      </c>
      <c r="E922" s="132">
        <v>1979</v>
      </c>
      <c r="F922" s="248">
        <v>19.484</v>
      </c>
      <c r="G922" s="248">
        <v>1.122</v>
      </c>
      <c r="H922" s="248">
        <v>3.52</v>
      </c>
      <c r="I922" s="248">
        <v>14.842</v>
      </c>
      <c r="J922" s="271">
        <v>1154.82</v>
      </c>
      <c r="K922" s="248">
        <v>14.842</v>
      </c>
      <c r="L922" s="271">
        <v>1154.82</v>
      </c>
      <c r="M922" s="141">
        <f>K922/L922</f>
        <v>0.012852219393498555</v>
      </c>
      <c r="N922" s="142">
        <v>205.5</v>
      </c>
      <c r="O922" s="143">
        <f>M922*N922</f>
        <v>2.641131085363953</v>
      </c>
      <c r="P922" s="164">
        <f>M922*60*1000</f>
        <v>771.1331636099133</v>
      </c>
      <c r="Q922" s="144">
        <f>P922*N922/1000</f>
        <v>158.46786512183718</v>
      </c>
      <c r="S922" s="88"/>
      <c r="T922" s="88"/>
    </row>
    <row r="923" spans="1:20" s="3" customFormat="1" ht="13.5" customHeight="1">
      <c r="A923" s="916"/>
      <c r="B923" s="121">
        <v>4</v>
      </c>
      <c r="C923" s="158"/>
      <c r="D923" s="132"/>
      <c r="E923" s="132"/>
      <c r="F923" s="248"/>
      <c r="G923" s="248"/>
      <c r="H923" s="248"/>
      <c r="I923" s="248"/>
      <c r="J923" s="271"/>
      <c r="K923" s="248"/>
      <c r="L923" s="271"/>
      <c r="M923" s="141"/>
      <c r="N923" s="142"/>
      <c r="O923" s="143"/>
      <c r="P923" s="164"/>
      <c r="Q923" s="144"/>
      <c r="S923" s="88"/>
      <c r="T923" s="88"/>
    </row>
    <row r="924" spans="1:20" s="3" customFormat="1" ht="13.5" customHeight="1">
      <c r="A924" s="916"/>
      <c r="B924" s="281">
        <v>5</v>
      </c>
      <c r="C924" s="122"/>
      <c r="D924" s="261"/>
      <c r="E924" s="261"/>
      <c r="F924" s="414"/>
      <c r="G924" s="414"/>
      <c r="H924" s="414"/>
      <c r="I924" s="414"/>
      <c r="J924" s="416"/>
      <c r="K924" s="414"/>
      <c r="L924" s="416"/>
      <c r="M924" s="261"/>
      <c r="N924" s="261"/>
      <c r="O924" s="261"/>
      <c r="P924" s="261"/>
      <c r="Q924" s="263"/>
      <c r="S924" s="88"/>
      <c r="T924" s="88"/>
    </row>
    <row r="925" spans="1:20" s="3" customFormat="1" ht="13.5" customHeight="1">
      <c r="A925" s="916"/>
      <c r="B925" s="478">
        <v>6</v>
      </c>
      <c r="C925" s="122"/>
      <c r="D925" s="261"/>
      <c r="E925" s="261"/>
      <c r="F925" s="414"/>
      <c r="G925" s="414"/>
      <c r="H925" s="414"/>
      <c r="I925" s="414"/>
      <c r="J925" s="416"/>
      <c r="K925" s="414"/>
      <c r="L925" s="416"/>
      <c r="M925" s="261"/>
      <c r="N925" s="261"/>
      <c r="O925" s="261"/>
      <c r="P925" s="261"/>
      <c r="Q925" s="263"/>
      <c r="S925" s="88"/>
      <c r="T925" s="88"/>
    </row>
    <row r="926" spans="1:20" s="3" customFormat="1" ht="13.5" customHeight="1">
      <c r="A926" s="916"/>
      <c r="B926" s="478">
        <v>7</v>
      </c>
      <c r="C926" s="122"/>
      <c r="D926" s="261"/>
      <c r="E926" s="261"/>
      <c r="F926" s="414"/>
      <c r="G926" s="414"/>
      <c r="H926" s="414"/>
      <c r="I926" s="414"/>
      <c r="J926" s="416"/>
      <c r="K926" s="414"/>
      <c r="L926" s="416"/>
      <c r="M926" s="261"/>
      <c r="N926" s="261"/>
      <c r="O926" s="261"/>
      <c r="P926" s="261"/>
      <c r="Q926" s="263"/>
      <c r="S926" s="88"/>
      <c r="T926" s="88"/>
    </row>
    <row r="927" spans="1:20" s="3" customFormat="1" ht="13.5" customHeight="1" thickBot="1">
      <c r="A927" s="917"/>
      <c r="B927" s="180">
        <v>8</v>
      </c>
      <c r="C927" s="252"/>
      <c r="D927" s="262"/>
      <c r="E927" s="262"/>
      <c r="F927" s="415"/>
      <c r="G927" s="415"/>
      <c r="H927" s="415"/>
      <c r="I927" s="415"/>
      <c r="J927" s="416"/>
      <c r="K927" s="414"/>
      <c r="L927" s="416"/>
      <c r="M927" s="262"/>
      <c r="N927" s="262"/>
      <c r="O927" s="262"/>
      <c r="P927" s="262"/>
      <c r="Q927" s="264"/>
      <c r="S927" s="88"/>
      <c r="T927" s="88"/>
    </row>
    <row r="928" spans="1:20" ht="11.25" customHeight="1">
      <c r="A928" s="949" t="s">
        <v>29</v>
      </c>
      <c r="B928" s="752">
        <v>1</v>
      </c>
      <c r="C928" s="709" t="s">
        <v>787</v>
      </c>
      <c r="D928" s="710"/>
      <c r="E928" s="710">
        <v>1994</v>
      </c>
      <c r="F928" s="712">
        <v>12.478</v>
      </c>
      <c r="G928" s="712">
        <v>0.729</v>
      </c>
      <c r="H928" s="712">
        <v>1.92</v>
      </c>
      <c r="I928" s="711">
        <v>9.829</v>
      </c>
      <c r="J928" s="713">
        <v>664.21</v>
      </c>
      <c r="K928" s="712">
        <v>9.829</v>
      </c>
      <c r="L928" s="713">
        <v>664.21</v>
      </c>
      <c r="M928" s="714">
        <f>K928/L928</f>
        <v>0.01479803074328902</v>
      </c>
      <c r="N928" s="715">
        <v>205.5</v>
      </c>
      <c r="O928" s="716">
        <f>M928*N928</f>
        <v>3.0409953177458937</v>
      </c>
      <c r="P928" s="716">
        <f>M928*60*1000</f>
        <v>887.8818445973412</v>
      </c>
      <c r="Q928" s="717">
        <f>P928*N928/1000</f>
        <v>182.4597190647536</v>
      </c>
      <c r="R928" s="6"/>
      <c r="S928" s="88"/>
      <c r="T928" s="88"/>
    </row>
    <row r="929" spans="1:20" ht="12.75" customHeight="1">
      <c r="A929" s="950"/>
      <c r="B929" s="725">
        <v>2</v>
      </c>
      <c r="C929" s="709" t="s">
        <v>788</v>
      </c>
      <c r="D929" s="710">
        <v>30</v>
      </c>
      <c r="E929" s="710">
        <v>1992</v>
      </c>
      <c r="F929" s="711">
        <v>31.61</v>
      </c>
      <c r="G929" s="711">
        <v>2.524</v>
      </c>
      <c r="H929" s="711">
        <v>4.8</v>
      </c>
      <c r="I929" s="711">
        <v>24.286</v>
      </c>
      <c r="J929" s="719">
        <v>1638</v>
      </c>
      <c r="K929" s="711">
        <v>24.286</v>
      </c>
      <c r="L929" s="719">
        <v>1638</v>
      </c>
      <c r="M929" s="714">
        <f>K929/L929</f>
        <v>0.014826617826617828</v>
      </c>
      <c r="N929" s="720">
        <v>205.5</v>
      </c>
      <c r="O929" s="716">
        <f>M929*N929</f>
        <v>3.046869963369964</v>
      </c>
      <c r="P929" s="716">
        <f>M929*60*1000</f>
        <v>889.5970695970698</v>
      </c>
      <c r="Q929" s="717">
        <f>P929*N929/1000</f>
        <v>182.81219780219783</v>
      </c>
      <c r="R929" s="6"/>
      <c r="S929" s="88"/>
      <c r="T929" s="88"/>
    </row>
    <row r="930" spans="1:20" ht="12.75" customHeight="1">
      <c r="A930" s="950"/>
      <c r="B930" s="725">
        <v>3</v>
      </c>
      <c r="C930" s="709" t="s">
        <v>389</v>
      </c>
      <c r="D930" s="710">
        <v>40</v>
      </c>
      <c r="E930" s="710">
        <v>1994</v>
      </c>
      <c r="F930" s="711">
        <v>46.908</v>
      </c>
      <c r="G930" s="711">
        <v>4.488</v>
      </c>
      <c r="H930" s="711">
        <v>6.4</v>
      </c>
      <c r="I930" s="711">
        <v>36.02</v>
      </c>
      <c r="J930" s="719">
        <v>2188.7</v>
      </c>
      <c r="K930" s="711">
        <v>36.02</v>
      </c>
      <c r="L930" s="719">
        <v>2188.7</v>
      </c>
      <c r="M930" s="721">
        <f>K930/L930</f>
        <v>0.016457257732900812</v>
      </c>
      <c r="N930" s="720">
        <v>205.5</v>
      </c>
      <c r="O930" s="716">
        <f>M930*N930</f>
        <v>3.381966464111117</v>
      </c>
      <c r="P930" s="716">
        <f>M930*60*1000</f>
        <v>987.4354639740488</v>
      </c>
      <c r="Q930" s="722">
        <f>P930*N930/1000</f>
        <v>202.91798784666705</v>
      </c>
      <c r="R930" s="6"/>
      <c r="S930" s="88"/>
      <c r="T930" s="88"/>
    </row>
    <row r="931" spans="1:20" ht="12.75" customHeight="1">
      <c r="A931" s="950"/>
      <c r="B931" s="725">
        <v>4</v>
      </c>
      <c r="C931" s="709"/>
      <c r="D931" s="710"/>
      <c r="E931" s="710"/>
      <c r="F931" s="711"/>
      <c r="G931" s="711"/>
      <c r="H931" s="711"/>
      <c r="I931" s="711"/>
      <c r="J931" s="719"/>
      <c r="K931" s="711"/>
      <c r="L931" s="719"/>
      <c r="M931" s="721"/>
      <c r="N931" s="720"/>
      <c r="O931" s="723"/>
      <c r="P931" s="716"/>
      <c r="Q931" s="722"/>
      <c r="R931" s="6"/>
      <c r="S931" s="88"/>
      <c r="T931" s="88"/>
    </row>
    <row r="932" spans="1:20" ht="12.75" customHeight="1">
      <c r="A932" s="950"/>
      <c r="B932" s="725">
        <v>5</v>
      </c>
      <c r="C932" s="765"/>
      <c r="D932" s="728"/>
      <c r="E932" s="728"/>
      <c r="F932" s="727"/>
      <c r="G932" s="727"/>
      <c r="H932" s="727"/>
      <c r="I932" s="727"/>
      <c r="J932" s="728"/>
      <c r="K932" s="727"/>
      <c r="L932" s="728"/>
      <c r="M932" s="729"/>
      <c r="N932" s="730"/>
      <c r="O932" s="730"/>
      <c r="P932" s="730"/>
      <c r="Q932" s="731"/>
      <c r="R932" s="6"/>
      <c r="S932" s="88"/>
      <c r="T932" s="88"/>
    </row>
    <row r="933" spans="1:20" ht="12.75" customHeight="1">
      <c r="A933" s="950"/>
      <c r="B933" s="725">
        <v>6</v>
      </c>
      <c r="C933" s="766"/>
      <c r="D933" s="767"/>
      <c r="E933" s="767"/>
      <c r="F933" s="768"/>
      <c r="G933" s="768"/>
      <c r="H933" s="768"/>
      <c r="I933" s="768"/>
      <c r="J933" s="728"/>
      <c r="K933" s="768"/>
      <c r="L933" s="769"/>
      <c r="M933" s="770"/>
      <c r="N933" s="771"/>
      <c r="O933" s="771"/>
      <c r="P933" s="730"/>
      <c r="Q933" s="772"/>
      <c r="R933" s="6"/>
      <c r="S933" s="88"/>
      <c r="T933" s="88"/>
    </row>
    <row r="934" spans="1:20" ht="12.75" customHeight="1">
      <c r="A934" s="950"/>
      <c r="B934" s="725">
        <v>7</v>
      </c>
      <c r="C934" s="766"/>
      <c r="D934" s="743"/>
      <c r="E934" s="743"/>
      <c r="F934" s="768"/>
      <c r="G934" s="768"/>
      <c r="H934" s="768"/>
      <c r="I934" s="768"/>
      <c r="J934" s="769"/>
      <c r="K934" s="768"/>
      <c r="L934" s="769"/>
      <c r="M934" s="770"/>
      <c r="N934" s="771"/>
      <c r="O934" s="771"/>
      <c r="P934" s="771"/>
      <c r="Q934" s="772"/>
      <c r="R934" s="6"/>
      <c r="S934" s="88"/>
      <c r="T934" s="88"/>
    </row>
    <row r="935" spans="1:20" ht="12.75" customHeight="1">
      <c r="A935" s="950"/>
      <c r="B935" s="725">
        <v>8</v>
      </c>
      <c r="C935" s="765"/>
      <c r="D935" s="725"/>
      <c r="E935" s="725"/>
      <c r="F935" s="727"/>
      <c r="G935" s="727"/>
      <c r="H935" s="727"/>
      <c r="I935" s="727"/>
      <c r="J935" s="728"/>
      <c r="K935" s="727"/>
      <c r="L935" s="728"/>
      <c r="M935" s="729"/>
      <c r="N935" s="730"/>
      <c r="O935" s="730"/>
      <c r="P935" s="730"/>
      <c r="Q935" s="731"/>
      <c r="R935" s="6"/>
      <c r="S935" s="88"/>
      <c r="T935" s="88"/>
    </row>
    <row r="936" spans="1:20" ht="13.5" customHeight="1">
      <c r="A936" s="950"/>
      <c r="B936" s="725">
        <v>9</v>
      </c>
      <c r="C936" s="765"/>
      <c r="D936" s="725"/>
      <c r="E936" s="725"/>
      <c r="F936" s="727"/>
      <c r="G936" s="727"/>
      <c r="H936" s="727"/>
      <c r="I936" s="727"/>
      <c r="J936" s="728"/>
      <c r="K936" s="727"/>
      <c r="L936" s="728"/>
      <c r="M936" s="729"/>
      <c r="N936" s="730"/>
      <c r="O936" s="730"/>
      <c r="P936" s="730"/>
      <c r="Q936" s="731"/>
      <c r="R936" s="6"/>
      <c r="S936" s="88"/>
      <c r="T936" s="88"/>
    </row>
    <row r="937" spans="1:20" ht="13.5" customHeight="1" thickBot="1">
      <c r="A937" s="951"/>
      <c r="B937" s="734">
        <v>10</v>
      </c>
      <c r="C937" s="773"/>
      <c r="D937" s="736"/>
      <c r="E937" s="736"/>
      <c r="F937" s="737"/>
      <c r="G937" s="737"/>
      <c r="H937" s="737"/>
      <c r="I937" s="737"/>
      <c r="J937" s="738"/>
      <c r="K937" s="737"/>
      <c r="L937" s="738"/>
      <c r="M937" s="739"/>
      <c r="N937" s="740"/>
      <c r="O937" s="740"/>
      <c r="P937" s="740"/>
      <c r="Q937" s="742"/>
      <c r="R937" s="6"/>
      <c r="S937" s="88"/>
      <c r="T937" s="88"/>
    </row>
    <row r="938" spans="1:20" ht="12.75">
      <c r="A938" s="963" t="s">
        <v>30</v>
      </c>
      <c r="B938" s="32">
        <v>1</v>
      </c>
      <c r="C938" s="215" t="s">
        <v>789</v>
      </c>
      <c r="D938" s="217">
        <v>40</v>
      </c>
      <c r="E938" s="217">
        <v>1983</v>
      </c>
      <c r="F938" s="313">
        <v>67.312</v>
      </c>
      <c r="G938" s="313">
        <v>3.815</v>
      </c>
      <c r="H938" s="313">
        <v>6.4</v>
      </c>
      <c r="I938" s="313">
        <v>57.097</v>
      </c>
      <c r="J938" s="276">
        <v>2256.22</v>
      </c>
      <c r="K938" s="313">
        <v>57.097</v>
      </c>
      <c r="L938" s="390">
        <v>2256.22</v>
      </c>
      <c r="M938" s="209">
        <f>K938/L938</f>
        <v>0.025306486069620875</v>
      </c>
      <c r="N938" s="220">
        <v>205.5</v>
      </c>
      <c r="O938" s="208">
        <f>M938*N938</f>
        <v>5.20048288730709</v>
      </c>
      <c r="P938" s="208">
        <f>M938*60*1000</f>
        <v>1518.3891641772525</v>
      </c>
      <c r="Q938" s="210">
        <f>P938*N938/1000</f>
        <v>312.0289732384254</v>
      </c>
      <c r="R938" s="6"/>
      <c r="S938" s="88"/>
      <c r="T938" s="88"/>
    </row>
    <row r="939" spans="1:20" ht="12.75">
      <c r="A939" s="938"/>
      <c r="B939" s="34">
        <v>2</v>
      </c>
      <c r="C939" s="205" t="s">
        <v>790</v>
      </c>
      <c r="D939" s="135">
        <v>40</v>
      </c>
      <c r="E939" s="135">
        <v>1975</v>
      </c>
      <c r="F939" s="222">
        <v>67.463</v>
      </c>
      <c r="G939" s="222">
        <v>4.062</v>
      </c>
      <c r="H939" s="222">
        <v>6.4</v>
      </c>
      <c r="I939" s="222">
        <v>57.001</v>
      </c>
      <c r="J939" s="277">
        <v>2234.02</v>
      </c>
      <c r="K939" s="222">
        <v>57.001</v>
      </c>
      <c r="L939" s="277">
        <v>2234.02</v>
      </c>
      <c r="M939" s="146">
        <f>K939/L939</f>
        <v>0.025514990913241598</v>
      </c>
      <c r="N939" s="147">
        <v>205.5</v>
      </c>
      <c r="O939" s="148">
        <f>M939*N939</f>
        <v>5.243330632671149</v>
      </c>
      <c r="P939" s="208">
        <f>M939*60*1000</f>
        <v>1530.8994547944958</v>
      </c>
      <c r="Q939" s="149">
        <f>P939*N939/1000</f>
        <v>314.59983796026887</v>
      </c>
      <c r="R939" s="6"/>
      <c r="S939" s="88"/>
      <c r="T939" s="88"/>
    </row>
    <row r="940" spans="1:20" ht="12.75">
      <c r="A940" s="938"/>
      <c r="B940" s="34">
        <v>3</v>
      </c>
      <c r="C940" s="205" t="s">
        <v>791</v>
      </c>
      <c r="D940" s="135">
        <v>8</v>
      </c>
      <c r="E940" s="135">
        <v>1970</v>
      </c>
      <c r="F940" s="222">
        <v>12.322</v>
      </c>
      <c r="G940" s="222">
        <v>0.673</v>
      </c>
      <c r="H940" s="222">
        <v>1.28</v>
      </c>
      <c r="I940" s="222">
        <v>10.369</v>
      </c>
      <c r="J940" s="277">
        <v>400.74</v>
      </c>
      <c r="K940" s="222">
        <v>10.369</v>
      </c>
      <c r="L940" s="277">
        <v>400.74</v>
      </c>
      <c r="M940" s="146">
        <f>K940/L940</f>
        <v>0.02587463193092778</v>
      </c>
      <c r="N940" s="147">
        <v>205.5</v>
      </c>
      <c r="O940" s="148">
        <f>M940*N940</f>
        <v>5.317236861805659</v>
      </c>
      <c r="P940" s="208">
        <f>M940*60*1000</f>
        <v>1552.4779158556669</v>
      </c>
      <c r="Q940" s="149">
        <f>P940*N940/1000</f>
        <v>319.03421170833957</v>
      </c>
      <c r="R940" s="6"/>
      <c r="S940" s="88"/>
      <c r="T940" s="88"/>
    </row>
    <row r="941" spans="1:20" ht="12.75">
      <c r="A941" s="938"/>
      <c r="B941" s="34">
        <v>4</v>
      </c>
      <c r="C941" s="205"/>
      <c r="D941" s="135"/>
      <c r="E941" s="135"/>
      <c r="F941" s="222"/>
      <c r="G941" s="222"/>
      <c r="H941" s="222"/>
      <c r="I941" s="222"/>
      <c r="J941" s="277"/>
      <c r="K941" s="222"/>
      <c r="L941" s="277"/>
      <c r="M941" s="146"/>
      <c r="N941" s="147"/>
      <c r="O941" s="148"/>
      <c r="P941" s="208"/>
      <c r="Q941" s="149"/>
      <c r="R941" s="6"/>
      <c r="S941" s="88"/>
      <c r="T941" s="88"/>
    </row>
    <row r="942" spans="1:20" ht="12.75">
      <c r="A942" s="938"/>
      <c r="B942" s="34">
        <v>5</v>
      </c>
      <c r="C942" s="33"/>
      <c r="D942" s="34"/>
      <c r="E942" s="34"/>
      <c r="F942" s="200"/>
      <c r="G942" s="200"/>
      <c r="H942" s="200"/>
      <c r="I942" s="200"/>
      <c r="J942" s="309"/>
      <c r="K942" s="200"/>
      <c r="L942" s="309"/>
      <c r="M942" s="301"/>
      <c r="N942" s="176"/>
      <c r="O942" s="176"/>
      <c r="P942" s="176"/>
      <c r="Q942" s="177"/>
      <c r="R942" s="6"/>
      <c r="S942" s="88"/>
      <c r="T942" s="88"/>
    </row>
    <row r="943" spans="1:20" ht="12.75">
      <c r="A943" s="938"/>
      <c r="B943" s="34">
        <v>6</v>
      </c>
      <c r="C943" s="118"/>
      <c r="D943" s="34"/>
      <c r="E943" s="34"/>
      <c r="F943" s="200"/>
      <c r="G943" s="200"/>
      <c r="H943" s="200"/>
      <c r="I943" s="200"/>
      <c r="J943" s="309"/>
      <c r="K943" s="200"/>
      <c r="L943" s="309"/>
      <c r="M943" s="34"/>
      <c r="N943" s="34"/>
      <c r="O943" s="34"/>
      <c r="P943" s="34"/>
      <c r="Q943" s="467"/>
      <c r="R943" s="6"/>
      <c r="S943" s="88"/>
      <c r="T943" s="88"/>
    </row>
    <row r="944" spans="1:20" ht="12.75">
      <c r="A944" s="938"/>
      <c r="B944" s="34">
        <v>7</v>
      </c>
      <c r="C944" s="118"/>
      <c r="D944" s="34"/>
      <c r="E944" s="34"/>
      <c r="F944" s="200"/>
      <c r="G944" s="200"/>
      <c r="H944" s="200"/>
      <c r="I944" s="200"/>
      <c r="J944" s="309"/>
      <c r="K944" s="200"/>
      <c r="L944" s="309"/>
      <c r="M944" s="34"/>
      <c r="N944" s="34"/>
      <c r="O944" s="34"/>
      <c r="P944" s="34"/>
      <c r="Q944" s="467"/>
      <c r="R944" s="6"/>
      <c r="S944" s="88"/>
      <c r="T944" s="88"/>
    </row>
    <row r="945" spans="1:20" ht="12.75">
      <c r="A945" s="938"/>
      <c r="B945" s="34">
        <v>8</v>
      </c>
      <c r="C945" s="118"/>
      <c r="D945" s="34"/>
      <c r="E945" s="34"/>
      <c r="F945" s="200"/>
      <c r="G945" s="200"/>
      <c r="H945" s="200"/>
      <c r="I945" s="200"/>
      <c r="J945" s="309"/>
      <c r="K945" s="200"/>
      <c r="L945" s="309"/>
      <c r="M945" s="34"/>
      <c r="N945" s="34"/>
      <c r="O945" s="34"/>
      <c r="P945" s="34"/>
      <c r="Q945" s="467"/>
      <c r="R945" s="6"/>
      <c r="S945" s="88"/>
      <c r="T945" s="88"/>
    </row>
    <row r="946" spans="1:20" ht="12.75">
      <c r="A946" s="939"/>
      <c r="B946" s="75">
        <v>9</v>
      </c>
      <c r="C946" s="33"/>
      <c r="D946" s="34"/>
      <c r="E946" s="34"/>
      <c r="F946" s="200"/>
      <c r="G946" s="200"/>
      <c r="H946" s="200"/>
      <c r="I946" s="200"/>
      <c r="J946" s="309"/>
      <c r="K946" s="200"/>
      <c r="L946" s="309"/>
      <c r="M946" s="301"/>
      <c r="N946" s="176"/>
      <c r="O946" s="176"/>
      <c r="P946" s="176"/>
      <c r="Q946" s="177"/>
      <c r="R946" s="6"/>
      <c r="S946" s="88"/>
      <c r="T946" s="88"/>
    </row>
    <row r="947" spans="1:20" ht="13.5" thickBot="1">
      <c r="A947" s="940"/>
      <c r="B947" s="36">
        <v>10</v>
      </c>
      <c r="C947" s="35"/>
      <c r="D947" s="36"/>
      <c r="E947" s="36"/>
      <c r="F947" s="374"/>
      <c r="G947" s="374"/>
      <c r="H947" s="374"/>
      <c r="I947" s="374"/>
      <c r="J947" s="311"/>
      <c r="K947" s="374"/>
      <c r="L947" s="311"/>
      <c r="M947" s="302"/>
      <c r="N947" s="303"/>
      <c r="O947" s="303"/>
      <c r="P947" s="303"/>
      <c r="Q947" s="468"/>
      <c r="R947" s="6"/>
      <c r="S947" s="88"/>
      <c r="T947" s="88"/>
    </row>
    <row r="948" spans="1:20" ht="12.75">
      <c r="A948" s="1082" t="s">
        <v>12</v>
      </c>
      <c r="B948" s="39">
        <v>1</v>
      </c>
      <c r="C948" s="166" t="s">
        <v>792</v>
      </c>
      <c r="D948" s="167">
        <v>8</v>
      </c>
      <c r="E948" s="167">
        <v>1992</v>
      </c>
      <c r="F948" s="250">
        <v>14.432</v>
      </c>
      <c r="G948" s="250">
        <v>0.337</v>
      </c>
      <c r="H948" s="250">
        <v>0.08</v>
      </c>
      <c r="I948" s="250">
        <v>14.015</v>
      </c>
      <c r="J948" s="274">
        <v>390.46</v>
      </c>
      <c r="K948" s="250">
        <v>14.015</v>
      </c>
      <c r="L948" s="391">
        <v>390.46</v>
      </c>
      <c r="M948" s="170">
        <f>K948/L948</f>
        <v>0.035893561440352405</v>
      </c>
      <c r="N948" s="168">
        <v>205.5</v>
      </c>
      <c r="O948" s="171">
        <f>M948*N948</f>
        <v>7.376126875992419</v>
      </c>
      <c r="P948" s="171">
        <f>M948*60*1000</f>
        <v>2153.6136864211444</v>
      </c>
      <c r="Q948" s="172">
        <f>P948*N948/1000</f>
        <v>442.5676125595451</v>
      </c>
      <c r="S948" s="88"/>
      <c r="T948" s="88"/>
    </row>
    <row r="949" spans="1:20" ht="12.75">
      <c r="A949" s="974"/>
      <c r="B949" s="79">
        <v>2</v>
      </c>
      <c r="C949" s="169" t="s">
        <v>465</v>
      </c>
      <c r="D949" s="137">
        <v>12</v>
      </c>
      <c r="E949" s="137">
        <v>1992</v>
      </c>
      <c r="F949" s="218">
        <v>28.855</v>
      </c>
      <c r="G949" s="218">
        <v>1.346</v>
      </c>
      <c r="H949" s="218">
        <v>1.92</v>
      </c>
      <c r="I949" s="218">
        <v>25.589</v>
      </c>
      <c r="J949" s="275">
        <v>695.18</v>
      </c>
      <c r="K949" s="218">
        <v>25.589</v>
      </c>
      <c r="L949" s="275">
        <v>695.18</v>
      </c>
      <c r="M949" s="150">
        <f>K949/L949</f>
        <v>0.03680917172530855</v>
      </c>
      <c r="N949" s="151">
        <v>205.5</v>
      </c>
      <c r="O949" s="152">
        <f>M949*N949</f>
        <v>7.564284789550907</v>
      </c>
      <c r="P949" s="171">
        <f>M949*60*1000</f>
        <v>2208.5503035185134</v>
      </c>
      <c r="Q949" s="153">
        <f>P949*N949/1000</f>
        <v>453.85708737305447</v>
      </c>
      <c r="S949" s="88"/>
      <c r="T949" s="88"/>
    </row>
    <row r="950" spans="1:20" ht="12.75">
      <c r="A950" s="974"/>
      <c r="B950" s="79">
        <v>3</v>
      </c>
      <c r="C950" s="169" t="s">
        <v>466</v>
      </c>
      <c r="D950" s="137">
        <v>4</v>
      </c>
      <c r="E950" s="137">
        <v>1988</v>
      </c>
      <c r="F950" s="218">
        <v>11.174</v>
      </c>
      <c r="G950" s="218">
        <v>0.112</v>
      </c>
      <c r="H950" s="218">
        <v>0.64</v>
      </c>
      <c r="I950" s="218">
        <v>10.422</v>
      </c>
      <c r="J950" s="275">
        <v>270.88</v>
      </c>
      <c r="K950" s="218">
        <v>10.422</v>
      </c>
      <c r="L950" s="275">
        <v>270.88</v>
      </c>
      <c r="M950" s="150">
        <f>K950/L950</f>
        <v>0.038474601299468406</v>
      </c>
      <c r="N950" s="151">
        <v>205.5</v>
      </c>
      <c r="O950" s="152">
        <f>M950*N950</f>
        <v>7.9065305670407575</v>
      </c>
      <c r="P950" s="171">
        <f>M950*60*1000</f>
        <v>2308.476077968104</v>
      </c>
      <c r="Q950" s="153">
        <f>P950*N950/1000</f>
        <v>474.39183402244544</v>
      </c>
      <c r="S950" s="88"/>
      <c r="T950" s="88"/>
    </row>
    <row r="951" spans="1:20" ht="12.75">
      <c r="A951" s="974"/>
      <c r="B951" s="41">
        <v>4</v>
      </c>
      <c r="C951" s="169"/>
      <c r="D951" s="137"/>
      <c r="E951" s="137"/>
      <c r="F951" s="443"/>
      <c r="G951" s="443"/>
      <c r="H951" s="443"/>
      <c r="I951" s="443"/>
      <c r="J951" s="443"/>
      <c r="K951" s="635"/>
      <c r="L951" s="471"/>
      <c r="M951" s="426"/>
      <c r="N951" s="427"/>
      <c r="O951" s="428"/>
      <c r="P951" s="442"/>
      <c r="Q951" s="429"/>
      <c r="S951" s="88"/>
      <c r="T951" s="88"/>
    </row>
    <row r="952" spans="1:20" ht="12.75">
      <c r="A952" s="974"/>
      <c r="B952" s="41">
        <v>5</v>
      </c>
      <c r="C952" s="169"/>
      <c r="D952" s="137"/>
      <c r="E952" s="137"/>
      <c r="F952" s="443"/>
      <c r="G952" s="443"/>
      <c r="H952" s="443"/>
      <c r="I952" s="443"/>
      <c r="J952" s="443"/>
      <c r="K952" s="282"/>
      <c r="L952" s="471"/>
      <c r="M952" s="426"/>
      <c r="N952" s="427"/>
      <c r="O952" s="428"/>
      <c r="P952" s="442"/>
      <c r="Q952" s="429"/>
      <c r="S952" s="88"/>
      <c r="T952" s="88"/>
    </row>
    <row r="953" spans="1:20" ht="12.75">
      <c r="A953" s="974"/>
      <c r="B953" s="41">
        <v>6</v>
      </c>
      <c r="C953" s="169"/>
      <c r="D953" s="137"/>
      <c r="E953" s="137"/>
      <c r="F953" s="218"/>
      <c r="G953" s="218"/>
      <c r="H953" s="218"/>
      <c r="I953" s="218"/>
      <c r="J953" s="275"/>
      <c r="K953" s="386"/>
      <c r="L953" s="275"/>
      <c r="M953" s="150"/>
      <c r="N953" s="168"/>
      <c r="O953" s="152"/>
      <c r="P953" s="171"/>
      <c r="Q953" s="153"/>
      <c r="S953" s="88"/>
      <c r="T953" s="88"/>
    </row>
    <row r="954" spans="1:20" ht="12.75">
      <c r="A954" s="974"/>
      <c r="B954" s="41">
        <v>7</v>
      </c>
      <c r="C954" s="169"/>
      <c r="D954" s="137"/>
      <c r="E954" s="137"/>
      <c r="F954" s="218"/>
      <c r="G954" s="218"/>
      <c r="H954" s="218"/>
      <c r="I954" s="218"/>
      <c r="J954" s="275"/>
      <c r="K954" s="386"/>
      <c r="L954" s="275"/>
      <c r="M954" s="150"/>
      <c r="N954" s="151"/>
      <c r="O954" s="152"/>
      <c r="P954" s="152"/>
      <c r="Q954" s="153"/>
      <c r="S954" s="88"/>
      <c r="T954" s="88"/>
    </row>
    <row r="955" spans="1:20" ht="13.5" thickBot="1">
      <c r="A955" s="1083"/>
      <c r="B955" s="45">
        <v>8</v>
      </c>
      <c r="C955" s="214"/>
      <c r="D955" s="138"/>
      <c r="E955" s="138"/>
      <c r="F955" s="251"/>
      <c r="G955" s="251"/>
      <c r="H955" s="251"/>
      <c r="I955" s="251"/>
      <c r="J955" s="365"/>
      <c r="K955" s="387"/>
      <c r="L955" s="365"/>
      <c r="M955" s="154"/>
      <c r="N955" s="155"/>
      <c r="O955" s="156"/>
      <c r="P955" s="156"/>
      <c r="Q955" s="157"/>
      <c r="S955" s="88"/>
      <c r="T955" s="88"/>
    </row>
    <row r="956" spans="19:20" ht="12.75">
      <c r="S956" s="88"/>
      <c r="T956" s="88"/>
    </row>
    <row r="957" spans="19:20" ht="12.75">
      <c r="S957" s="88"/>
      <c r="T957" s="88"/>
    </row>
    <row r="958" spans="19:20" ht="12.75">
      <c r="S958" s="88"/>
      <c r="T958" s="88"/>
    </row>
    <row r="959" spans="1:20" ht="15">
      <c r="A959" s="967" t="s">
        <v>52</v>
      </c>
      <c r="B959" s="967"/>
      <c r="C959" s="967"/>
      <c r="D959" s="967"/>
      <c r="E959" s="967"/>
      <c r="F959" s="967"/>
      <c r="G959" s="967"/>
      <c r="H959" s="967"/>
      <c r="I959" s="967"/>
      <c r="J959" s="967"/>
      <c r="K959" s="967"/>
      <c r="L959" s="967"/>
      <c r="M959" s="967"/>
      <c r="N959" s="967"/>
      <c r="O959" s="967"/>
      <c r="P959" s="967"/>
      <c r="Q959" s="967"/>
      <c r="S959" s="88"/>
      <c r="T959" s="88"/>
    </row>
    <row r="960" spans="1:20" ht="13.5" thickBot="1">
      <c r="A960" s="968" t="s">
        <v>813</v>
      </c>
      <c r="B960" s="968"/>
      <c r="C960" s="968"/>
      <c r="D960" s="968"/>
      <c r="E960" s="968"/>
      <c r="F960" s="968"/>
      <c r="G960" s="968"/>
      <c r="H960" s="968"/>
      <c r="I960" s="968"/>
      <c r="J960" s="968"/>
      <c r="K960" s="968"/>
      <c r="L960" s="968"/>
      <c r="M960" s="968"/>
      <c r="N960" s="968"/>
      <c r="O960" s="968"/>
      <c r="P960" s="968"/>
      <c r="Q960" s="968"/>
      <c r="S960" s="88"/>
      <c r="T960" s="88"/>
    </row>
    <row r="961" spans="1:20" ht="12.75" customHeight="1">
      <c r="A961" s="952" t="s">
        <v>1</v>
      </c>
      <c r="B961" s="955" t="s">
        <v>0</v>
      </c>
      <c r="C961" s="944" t="s">
        <v>2</v>
      </c>
      <c r="D961" s="944" t="s">
        <v>3</v>
      </c>
      <c r="E961" s="944" t="s">
        <v>13</v>
      </c>
      <c r="F961" s="960" t="s">
        <v>14</v>
      </c>
      <c r="G961" s="961"/>
      <c r="H961" s="961"/>
      <c r="I961" s="962"/>
      <c r="J961" s="944" t="s">
        <v>4</v>
      </c>
      <c r="K961" s="944" t="s">
        <v>15</v>
      </c>
      <c r="L961" s="944" t="s">
        <v>5</v>
      </c>
      <c r="M961" s="944" t="s">
        <v>6</v>
      </c>
      <c r="N961" s="944" t="s">
        <v>16</v>
      </c>
      <c r="O961" s="969" t="s">
        <v>17</v>
      </c>
      <c r="P961" s="944" t="s">
        <v>25</v>
      </c>
      <c r="Q961" s="929" t="s">
        <v>26</v>
      </c>
      <c r="S961" s="88"/>
      <c r="T961" s="88"/>
    </row>
    <row r="962" spans="1:20" s="2" customFormat="1" ht="33.75">
      <c r="A962" s="953"/>
      <c r="B962" s="956"/>
      <c r="C962" s="958"/>
      <c r="D962" s="945"/>
      <c r="E962" s="945"/>
      <c r="F962" s="37" t="s">
        <v>18</v>
      </c>
      <c r="G962" s="37" t="s">
        <v>19</v>
      </c>
      <c r="H962" s="37" t="s">
        <v>20</v>
      </c>
      <c r="I962" s="37" t="s">
        <v>21</v>
      </c>
      <c r="J962" s="945"/>
      <c r="K962" s="945"/>
      <c r="L962" s="945"/>
      <c r="M962" s="945"/>
      <c r="N962" s="945"/>
      <c r="O962" s="970"/>
      <c r="P962" s="945"/>
      <c r="Q962" s="930"/>
      <c r="S962" s="88"/>
      <c r="T962" s="88"/>
    </row>
    <row r="963" spans="1:20" s="3" customFormat="1" ht="13.5" customHeight="1" thickBot="1">
      <c r="A963" s="954"/>
      <c r="B963" s="957"/>
      <c r="C963" s="959"/>
      <c r="D963" s="58" t="s">
        <v>7</v>
      </c>
      <c r="E963" s="58" t="s">
        <v>8</v>
      </c>
      <c r="F963" s="58" t="s">
        <v>9</v>
      </c>
      <c r="G963" s="58" t="s">
        <v>9</v>
      </c>
      <c r="H963" s="58" t="s">
        <v>9</v>
      </c>
      <c r="I963" s="58" t="s">
        <v>9</v>
      </c>
      <c r="J963" s="58" t="s">
        <v>22</v>
      </c>
      <c r="K963" s="58" t="s">
        <v>9</v>
      </c>
      <c r="L963" s="58" t="s">
        <v>22</v>
      </c>
      <c r="M963" s="58" t="s">
        <v>23</v>
      </c>
      <c r="N963" s="58" t="s">
        <v>10</v>
      </c>
      <c r="O963" s="58" t="s">
        <v>24</v>
      </c>
      <c r="P963" s="59" t="s">
        <v>27</v>
      </c>
      <c r="Q963" s="60" t="s">
        <v>28</v>
      </c>
      <c r="S963" s="88"/>
      <c r="T963" s="88"/>
    </row>
    <row r="964" spans="1:20" s="3" customFormat="1" ht="13.5" customHeight="1">
      <c r="A964" s="1084" t="s">
        <v>50</v>
      </c>
      <c r="B964" s="233">
        <v>1</v>
      </c>
      <c r="C964" s="202"/>
      <c r="D964" s="159"/>
      <c r="E964" s="159"/>
      <c r="F964" s="253"/>
      <c r="G964" s="253"/>
      <c r="H964" s="253"/>
      <c r="I964" s="253"/>
      <c r="J964" s="270"/>
      <c r="K964" s="253"/>
      <c r="L964" s="270"/>
      <c r="M964" s="173"/>
      <c r="N964" s="160"/>
      <c r="O964" s="479"/>
      <c r="P964" s="479"/>
      <c r="Q964" s="479"/>
      <c r="S964" s="88"/>
      <c r="T964" s="88"/>
    </row>
    <row r="965" spans="1:20" s="3" customFormat="1" ht="13.5" customHeight="1">
      <c r="A965" s="1085"/>
      <c r="B965" s="121">
        <v>2</v>
      </c>
      <c r="C965" s="158"/>
      <c r="D965" s="132"/>
      <c r="E965" s="132"/>
      <c r="F965" s="248"/>
      <c r="G965" s="248"/>
      <c r="H965" s="248"/>
      <c r="I965" s="248"/>
      <c r="J965" s="271"/>
      <c r="K965" s="248"/>
      <c r="L965" s="271"/>
      <c r="M965" s="141"/>
      <c r="N965" s="142"/>
      <c r="O965" s="143"/>
      <c r="P965" s="143"/>
      <c r="Q965" s="143"/>
      <c r="S965" s="88"/>
      <c r="T965" s="88"/>
    </row>
    <row r="966" spans="1:20" s="3" customFormat="1" ht="13.5" customHeight="1">
      <c r="A966" s="1085"/>
      <c r="B966" s="121">
        <v>3</v>
      </c>
      <c r="C966" s="158"/>
      <c r="D966" s="132"/>
      <c r="E966" s="132"/>
      <c r="F966" s="248"/>
      <c r="G966" s="248"/>
      <c r="H966" s="248"/>
      <c r="I966" s="248"/>
      <c r="J966" s="271"/>
      <c r="K966" s="248"/>
      <c r="L966" s="271"/>
      <c r="M966" s="141"/>
      <c r="N966" s="142"/>
      <c r="O966" s="143"/>
      <c r="P966" s="143"/>
      <c r="Q966" s="143"/>
      <c r="S966" s="88"/>
      <c r="T966" s="88"/>
    </row>
    <row r="967" spans="1:20" s="3" customFormat="1" ht="13.5" customHeight="1">
      <c r="A967" s="1085"/>
      <c r="B967" s="121">
        <v>4</v>
      </c>
      <c r="C967" s="158"/>
      <c r="D967" s="132"/>
      <c r="E967" s="132"/>
      <c r="F967" s="248"/>
      <c r="G967" s="248"/>
      <c r="H967" s="248"/>
      <c r="I967" s="248"/>
      <c r="J967" s="271"/>
      <c r="K967" s="248"/>
      <c r="L967" s="271"/>
      <c r="M967" s="141"/>
      <c r="N967" s="142"/>
      <c r="O967" s="143"/>
      <c r="P967" s="143"/>
      <c r="Q967" s="143"/>
      <c r="S967" s="88"/>
      <c r="T967" s="88"/>
    </row>
    <row r="968" spans="1:20" s="3" customFormat="1" ht="13.5" customHeight="1">
      <c r="A968" s="1085"/>
      <c r="B968" s="121"/>
      <c r="C968" s="122"/>
      <c r="D968" s="261"/>
      <c r="E968" s="261"/>
      <c r="F968" s="261"/>
      <c r="G968" s="261"/>
      <c r="H968" s="261"/>
      <c r="I968" s="261"/>
      <c r="J968" s="416"/>
      <c r="K968" s="261"/>
      <c r="L968" s="416"/>
      <c r="M968" s="261"/>
      <c r="N968" s="261"/>
      <c r="O968" s="261"/>
      <c r="P968" s="261"/>
      <c r="Q968" s="261"/>
      <c r="S968" s="88"/>
      <c r="T968" s="88"/>
    </row>
    <row r="969" spans="1:20" s="3" customFormat="1" ht="13.5" customHeight="1">
      <c r="A969" s="1085"/>
      <c r="B969" s="121"/>
      <c r="C969" s="122"/>
      <c r="D969" s="261"/>
      <c r="E969" s="261"/>
      <c r="F969" s="261"/>
      <c r="G969" s="261"/>
      <c r="H969" s="261"/>
      <c r="I969" s="261"/>
      <c r="J969" s="416"/>
      <c r="K969" s="261"/>
      <c r="L969" s="416"/>
      <c r="M969" s="261"/>
      <c r="N969" s="261"/>
      <c r="O969" s="261"/>
      <c r="P969" s="261"/>
      <c r="Q969" s="261"/>
      <c r="S969" s="88"/>
      <c r="T969" s="88"/>
    </row>
    <row r="970" spans="1:20" s="3" customFormat="1" ht="13.5" customHeight="1" thickBot="1">
      <c r="A970" s="1086"/>
      <c r="B970" s="180"/>
      <c r="C970" s="252"/>
      <c r="D970" s="262"/>
      <c r="E970" s="262"/>
      <c r="F970" s="262"/>
      <c r="G970" s="262"/>
      <c r="H970" s="262"/>
      <c r="I970" s="262"/>
      <c r="J970" s="420"/>
      <c r="K970" s="262"/>
      <c r="L970" s="420"/>
      <c r="M970" s="262"/>
      <c r="N970" s="262"/>
      <c r="O970" s="262"/>
      <c r="P970" s="262"/>
      <c r="Q970" s="262"/>
      <c r="S970" s="88"/>
      <c r="T970" s="88"/>
    </row>
    <row r="971" spans="1:20" ht="11.25" customHeight="1">
      <c r="A971" s="949" t="s">
        <v>29</v>
      </c>
      <c r="B971" s="743">
        <v>1</v>
      </c>
      <c r="C971" s="709" t="s">
        <v>793</v>
      </c>
      <c r="D971" s="710">
        <v>75</v>
      </c>
      <c r="E971" s="710" t="s">
        <v>67</v>
      </c>
      <c r="F971" s="763">
        <f>G971+H971+I971</f>
        <v>57.68</v>
      </c>
      <c r="G971" s="712">
        <v>9.566</v>
      </c>
      <c r="H971" s="712">
        <v>11.84</v>
      </c>
      <c r="I971" s="711">
        <v>36.274</v>
      </c>
      <c r="J971" s="713">
        <v>3389.63</v>
      </c>
      <c r="K971" s="712">
        <v>36.274</v>
      </c>
      <c r="L971" s="713">
        <v>3389.63</v>
      </c>
      <c r="M971" s="714">
        <f>K971/L971</f>
        <v>0.010701462991535949</v>
      </c>
      <c r="N971" s="715">
        <v>343.02</v>
      </c>
      <c r="O971" s="716">
        <f aca="true" t="shared" si="138" ref="O971:O980">M971*N971</f>
        <v>3.670815835356661</v>
      </c>
      <c r="P971" s="716">
        <f aca="true" t="shared" si="139" ref="P971:P980">M971*60*1000</f>
        <v>642.0877794921569</v>
      </c>
      <c r="Q971" s="717">
        <f aca="true" t="shared" si="140" ref="Q971:Q980">P971*N971/1000</f>
        <v>220.24895012139962</v>
      </c>
      <c r="S971" s="88"/>
      <c r="T971" s="88"/>
    </row>
    <row r="972" spans="1:20" ht="12.75" customHeight="1">
      <c r="A972" s="950"/>
      <c r="B972" s="725">
        <v>2</v>
      </c>
      <c r="C972" s="709" t="s">
        <v>467</v>
      </c>
      <c r="D972" s="710">
        <v>8</v>
      </c>
      <c r="E972" s="710" t="s">
        <v>67</v>
      </c>
      <c r="F972" s="711">
        <f aca="true" t="shared" si="141" ref="F972:F985">G972+H972+I972</f>
        <v>9.963000000000001</v>
      </c>
      <c r="G972" s="711">
        <v>0.926</v>
      </c>
      <c r="H972" s="711">
        <v>0.64</v>
      </c>
      <c r="I972" s="711">
        <v>8.397</v>
      </c>
      <c r="J972" s="719">
        <v>633.84</v>
      </c>
      <c r="K972" s="711">
        <v>8.397</v>
      </c>
      <c r="L972" s="719">
        <v>633.84</v>
      </c>
      <c r="M972" s="714">
        <f>K972/L972</f>
        <v>0.013247822794396062</v>
      </c>
      <c r="N972" s="715">
        <v>343.02</v>
      </c>
      <c r="O972" s="716">
        <f t="shared" si="138"/>
        <v>4.544268174933737</v>
      </c>
      <c r="P972" s="716">
        <f t="shared" si="139"/>
        <v>794.8693676637637</v>
      </c>
      <c r="Q972" s="717">
        <f t="shared" si="140"/>
        <v>272.65609049602415</v>
      </c>
      <c r="S972" s="88"/>
      <c r="T972" s="88"/>
    </row>
    <row r="973" spans="1:20" ht="12.75" customHeight="1">
      <c r="A973" s="950"/>
      <c r="B973" s="725">
        <v>3</v>
      </c>
      <c r="C973" s="709" t="s">
        <v>794</v>
      </c>
      <c r="D973" s="710">
        <v>23</v>
      </c>
      <c r="E973" s="710">
        <v>2009</v>
      </c>
      <c r="F973" s="711">
        <f t="shared" si="141"/>
        <v>19.667</v>
      </c>
      <c r="G973" s="711">
        <v>2.244</v>
      </c>
      <c r="H973" s="711">
        <v>1.84</v>
      </c>
      <c r="I973" s="711">
        <v>15.583</v>
      </c>
      <c r="J973" s="719">
        <v>1098.31</v>
      </c>
      <c r="K973" s="711">
        <v>15.583</v>
      </c>
      <c r="L973" s="719">
        <v>1098.31</v>
      </c>
      <c r="M973" s="721">
        <f aca="true" t="shared" si="142" ref="M973:M980">K973/L973</f>
        <v>0.014188161812238803</v>
      </c>
      <c r="N973" s="715">
        <v>343.02</v>
      </c>
      <c r="O973" s="716">
        <f t="shared" si="138"/>
        <v>4.866823264834154</v>
      </c>
      <c r="P973" s="716">
        <f t="shared" si="139"/>
        <v>851.2897087343282</v>
      </c>
      <c r="Q973" s="722">
        <f t="shared" si="140"/>
        <v>292.00939589004923</v>
      </c>
      <c r="S973" s="88"/>
      <c r="T973" s="88"/>
    </row>
    <row r="974" spans="1:20" ht="12.75" customHeight="1">
      <c r="A974" s="950"/>
      <c r="B974" s="725">
        <v>4</v>
      </c>
      <c r="C974" s="709" t="s">
        <v>795</v>
      </c>
      <c r="D974" s="710">
        <v>9</v>
      </c>
      <c r="E974" s="710" t="s">
        <v>67</v>
      </c>
      <c r="F974" s="711">
        <f t="shared" si="141"/>
        <v>12.2</v>
      </c>
      <c r="G974" s="711">
        <v>0.561</v>
      </c>
      <c r="H974" s="711">
        <v>1.6</v>
      </c>
      <c r="I974" s="711">
        <v>10.039</v>
      </c>
      <c r="J974" s="719">
        <v>656.14</v>
      </c>
      <c r="K974" s="711">
        <v>9.253</v>
      </c>
      <c r="L974" s="719">
        <v>604.77</v>
      </c>
      <c r="M974" s="721">
        <f t="shared" si="142"/>
        <v>0.015300031416902294</v>
      </c>
      <c r="N974" s="715">
        <v>343.02</v>
      </c>
      <c r="O974" s="723">
        <f t="shared" si="138"/>
        <v>5.248216776625824</v>
      </c>
      <c r="P974" s="716">
        <f t="shared" si="139"/>
        <v>918.0018850141377</v>
      </c>
      <c r="Q974" s="722">
        <f t="shared" si="140"/>
        <v>314.89300659754946</v>
      </c>
      <c r="S974" s="88"/>
      <c r="T974" s="88"/>
    </row>
    <row r="975" spans="1:20" ht="12.75" customHeight="1">
      <c r="A975" s="950"/>
      <c r="B975" s="725">
        <v>5</v>
      </c>
      <c r="C975" s="709" t="s">
        <v>796</v>
      </c>
      <c r="D975" s="710">
        <v>18</v>
      </c>
      <c r="E975" s="710">
        <v>1996</v>
      </c>
      <c r="F975" s="711">
        <f t="shared" si="141"/>
        <v>23.03</v>
      </c>
      <c r="G975" s="711">
        <v>0</v>
      </c>
      <c r="H975" s="711">
        <v>0</v>
      </c>
      <c r="I975" s="711">
        <v>23.03</v>
      </c>
      <c r="J975" s="719">
        <v>1321.61</v>
      </c>
      <c r="K975" s="711">
        <v>23.03</v>
      </c>
      <c r="L975" s="719">
        <v>1321.61</v>
      </c>
      <c r="M975" s="721">
        <f t="shared" si="142"/>
        <v>0.01742571560445215</v>
      </c>
      <c r="N975" s="715">
        <v>343.02</v>
      </c>
      <c r="O975" s="723">
        <f t="shared" si="138"/>
        <v>5.977368966639176</v>
      </c>
      <c r="P975" s="716">
        <f t="shared" si="139"/>
        <v>1045.5429362671289</v>
      </c>
      <c r="Q975" s="722">
        <f t="shared" si="140"/>
        <v>358.64213799835056</v>
      </c>
      <c r="S975" s="88"/>
      <c r="T975" s="88"/>
    </row>
    <row r="976" spans="1:20" s="92" customFormat="1" ht="12.75" customHeight="1">
      <c r="A976" s="950"/>
      <c r="B976" s="755">
        <v>6</v>
      </c>
      <c r="C976" s="709" t="s">
        <v>797</v>
      </c>
      <c r="D976" s="710">
        <v>12</v>
      </c>
      <c r="E976" s="710" t="s">
        <v>67</v>
      </c>
      <c r="F976" s="711">
        <f t="shared" si="141"/>
        <v>14.665000000000001</v>
      </c>
      <c r="G976" s="711">
        <v>0.224</v>
      </c>
      <c r="H976" s="711">
        <v>1.92</v>
      </c>
      <c r="I976" s="711">
        <v>12.521</v>
      </c>
      <c r="J976" s="719">
        <v>710.12</v>
      </c>
      <c r="K976" s="711">
        <v>12.521</v>
      </c>
      <c r="L976" s="719">
        <v>710.12</v>
      </c>
      <c r="M976" s="721">
        <f t="shared" si="142"/>
        <v>0.01763223117219625</v>
      </c>
      <c r="N976" s="715">
        <v>343.02</v>
      </c>
      <c r="O976" s="723">
        <f t="shared" si="138"/>
        <v>6.048207936686757</v>
      </c>
      <c r="P976" s="716">
        <f t="shared" si="139"/>
        <v>1057.9338703317749</v>
      </c>
      <c r="Q976" s="722">
        <f t="shared" si="140"/>
        <v>362.8924762012054</v>
      </c>
      <c r="S976" s="98"/>
      <c r="T976" s="98"/>
    </row>
    <row r="977" spans="1:20" ht="12.75" customHeight="1">
      <c r="A977" s="950"/>
      <c r="B977" s="725">
        <v>7</v>
      </c>
      <c r="C977" s="709" t="s">
        <v>798</v>
      </c>
      <c r="D977" s="710">
        <v>20</v>
      </c>
      <c r="E977" s="710" t="s">
        <v>67</v>
      </c>
      <c r="F977" s="711">
        <f t="shared" si="141"/>
        <v>22.631999999999998</v>
      </c>
      <c r="G977" s="711">
        <v>0.213</v>
      </c>
      <c r="H977" s="711">
        <v>3.12</v>
      </c>
      <c r="I977" s="711">
        <v>19.299</v>
      </c>
      <c r="J977" s="719">
        <v>1078.13</v>
      </c>
      <c r="K977" s="711">
        <v>19.299</v>
      </c>
      <c r="L977" s="719">
        <v>1078.13</v>
      </c>
      <c r="M977" s="721">
        <f t="shared" si="142"/>
        <v>0.017900438722603024</v>
      </c>
      <c r="N977" s="715">
        <v>343.02</v>
      </c>
      <c r="O977" s="723">
        <f t="shared" si="138"/>
        <v>6.1402084906272885</v>
      </c>
      <c r="P977" s="716">
        <f t="shared" si="139"/>
        <v>1074.0263233561814</v>
      </c>
      <c r="Q977" s="722">
        <f t="shared" si="140"/>
        <v>368.4125094376373</v>
      </c>
      <c r="S977" s="88"/>
      <c r="T977" s="88"/>
    </row>
    <row r="978" spans="1:20" ht="12.75" customHeight="1">
      <c r="A978" s="950"/>
      <c r="B978" s="725">
        <v>8</v>
      </c>
      <c r="C978" s="709" t="s">
        <v>799</v>
      </c>
      <c r="D978" s="710">
        <v>50</v>
      </c>
      <c r="E978" s="710" t="s">
        <v>67</v>
      </c>
      <c r="F978" s="711">
        <f t="shared" si="141"/>
        <v>45.429</v>
      </c>
      <c r="G978" s="711">
        <v>3.049</v>
      </c>
      <c r="H978" s="711">
        <v>8</v>
      </c>
      <c r="I978" s="711">
        <v>34.38</v>
      </c>
      <c r="J978" s="719">
        <v>1886.21</v>
      </c>
      <c r="K978" s="711">
        <v>34.381</v>
      </c>
      <c r="L978" s="719">
        <v>1886.21</v>
      </c>
      <c r="M978" s="721">
        <f t="shared" si="142"/>
        <v>0.018227556846798606</v>
      </c>
      <c r="N978" s="715">
        <v>343.02</v>
      </c>
      <c r="O978" s="723">
        <f t="shared" si="138"/>
        <v>6.252416549588857</v>
      </c>
      <c r="P978" s="716">
        <f t="shared" si="139"/>
        <v>1093.6534108079163</v>
      </c>
      <c r="Q978" s="722">
        <f t="shared" si="140"/>
        <v>375.14499297533143</v>
      </c>
      <c r="S978" s="88"/>
      <c r="T978" s="88"/>
    </row>
    <row r="979" spans="1:20" ht="13.5" customHeight="1">
      <c r="A979" s="950"/>
      <c r="B979" s="725">
        <v>9</v>
      </c>
      <c r="C979" s="709" t="s">
        <v>800</v>
      </c>
      <c r="D979" s="710">
        <v>40</v>
      </c>
      <c r="E979" s="710" t="s">
        <v>67</v>
      </c>
      <c r="F979" s="711">
        <f t="shared" si="141"/>
        <v>53.824</v>
      </c>
      <c r="G979" s="711">
        <v>7.116</v>
      </c>
      <c r="H979" s="711">
        <v>6.4</v>
      </c>
      <c r="I979" s="711">
        <v>40.308</v>
      </c>
      <c r="J979" s="719">
        <v>2185.81</v>
      </c>
      <c r="K979" s="711">
        <v>40.308</v>
      </c>
      <c r="L979" s="719">
        <v>2185.81</v>
      </c>
      <c r="M979" s="721">
        <f t="shared" si="142"/>
        <v>0.018440761090854192</v>
      </c>
      <c r="N979" s="715">
        <v>343.02</v>
      </c>
      <c r="O979" s="723">
        <f t="shared" si="138"/>
        <v>6.325549869384805</v>
      </c>
      <c r="P979" s="716">
        <f t="shared" si="139"/>
        <v>1106.4456654512517</v>
      </c>
      <c r="Q979" s="722">
        <f t="shared" si="140"/>
        <v>379.53299216308835</v>
      </c>
      <c r="S979" s="88"/>
      <c r="T979" s="88"/>
    </row>
    <row r="980" spans="1:20" s="92" customFormat="1" ht="12.75" customHeight="1" thickBot="1">
      <c r="A980" s="951"/>
      <c r="B980" s="764"/>
      <c r="C980" s="709" t="s">
        <v>801</v>
      </c>
      <c r="D980" s="746">
        <v>20</v>
      </c>
      <c r="E980" s="746" t="s">
        <v>67</v>
      </c>
      <c r="F980" s="744">
        <f t="shared" si="141"/>
        <v>26.846</v>
      </c>
      <c r="G980" s="747">
        <v>2.468</v>
      </c>
      <c r="H980" s="747">
        <v>3.2</v>
      </c>
      <c r="I980" s="747">
        <v>21.178</v>
      </c>
      <c r="J980" s="748">
        <v>1143.7</v>
      </c>
      <c r="K980" s="747">
        <v>21.178</v>
      </c>
      <c r="L980" s="748">
        <v>1143.7</v>
      </c>
      <c r="M980" s="749">
        <f t="shared" si="142"/>
        <v>0.018517093643437964</v>
      </c>
      <c r="N980" s="757">
        <v>343.02</v>
      </c>
      <c r="O980" s="750">
        <f t="shared" si="138"/>
        <v>6.35173346157209</v>
      </c>
      <c r="P980" s="750">
        <f t="shared" si="139"/>
        <v>1111.025618606278</v>
      </c>
      <c r="Q980" s="751">
        <f t="shared" si="140"/>
        <v>381.1040076943254</v>
      </c>
      <c r="S980" s="98"/>
      <c r="T980" s="98"/>
    </row>
    <row r="981" spans="1:20" ht="12.75">
      <c r="A981" s="963" t="s">
        <v>30</v>
      </c>
      <c r="B981" s="32">
        <v>1</v>
      </c>
      <c r="C981" s="523" t="s">
        <v>802</v>
      </c>
      <c r="D981" s="217">
        <v>58</v>
      </c>
      <c r="E981" s="217" t="s">
        <v>67</v>
      </c>
      <c r="F981" s="313">
        <f t="shared" si="141"/>
        <v>65.983</v>
      </c>
      <c r="G981" s="313">
        <v>4.74</v>
      </c>
      <c r="H981" s="313">
        <v>9.28</v>
      </c>
      <c r="I981" s="313">
        <v>51.963</v>
      </c>
      <c r="J981" s="276">
        <v>2346.98</v>
      </c>
      <c r="K981" s="313">
        <v>51.962</v>
      </c>
      <c r="L981" s="390">
        <v>2346.98</v>
      </c>
      <c r="M981" s="209">
        <f>K981/L981</f>
        <v>0.022139941541896396</v>
      </c>
      <c r="N981" s="220">
        <v>343.02</v>
      </c>
      <c r="O981" s="208">
        <f>M981*N981</f>
        <v>7.594442747701301</v>
      </c>
      <c r="P981" s="208">
        <f>M981*60*1000</f>
        <v>1328.3964925137836</v>
      </c>
      <c r="Q981" s="210">
        <f>P981*N981/1000</f>
        <v>455.6665648620781</v>
      </c>
      <c r="S981" s="88"/>
      <c r="T981" s="88"/>
    </row>
    <row r="982" spans="1:20" ht="12.75">
      <c r="A982" s="938"/>
      <c r="B982" s="34">
        <v>2</v>
      </c>
      <c r="C982" s="205" t="s">
        <v>803</v>
      </c>
      <c r="D982" s="135">
        <v>50</v>
      </c>
      <c r="E982" s="135" t="s">
        <v>67</v>
      </c>
      <c r="F982" s="222">
        <f t="shared" si="141"/>
        <v>70</v>
      </c>
      <c r="G982" s="222">
        <v>4.179</v>
      </c>
      <c r="H982" s="222">
        <v>8</v>
      </c>
      <c r="I982" s="222">
        <v>57.821</v>
      </c>
      <c r="J982" s="277">
        <v>2547.77</v>
      </c>
      <c r="K982" s="222">
        <v>57.822</v>
      </c>
      <c r="L982" s="277">
        <v>2547.77</v>
      </c>
      <c r="M982" s="146">
        <f aca="true" t="shared" si="143" ref="M982:M990">K982/L982</f>
        <v>0.02269514124116384</v>
      </c>
      <c r="N982" s="220">
        <v>343.02</v>
      </c>
      <c r="O982" s="148">
        <f aca="true" t="shared" si="144" ref="O982:O990">M982*N982</f>
        <v>7.784887348544021</v>
      </c>
      <c r="P982" s="208">
        <f aca="true" t="shared" si="145" ref="P982:P990">M982*60*1000</f>
        <v>1361.7084744698304</v>
      </c>
      <c r="Q982" s="149">
        <f aca="true" t="shared" si="146" ref="Q982:Q990">P982*N982/1000</f>
        <v>467.09324091264125</v>
      </c>
      <c r="S982" s="88"/>
      <c r="T982" s="88"/>
    </row>
    <row r="983" spans="1:20" ht="12.75">
      <c r="A983" s="938"/>
      <c r="B983" s="34">
        <v>3</v>
      </c>
      <c r="C983" s="205" t="s">
        <v>804</v>
      </c>
      <c r="D983" s="135">
        <v>20</v>
      </c>
      <c r="E983" s="135" t="s">
        <v>67</v>
      </c>
      <c r="F983" s="222">
        <f t="shared" si="141"/>
        <v>29.292</v>
      </c>
      <c r="G983" s="222">
        <v>2.179</v>
      </c>
      <c r="H983" s="222">
        <v>3.04</v>
      </c>
      <c r="I983" s="222">
        <v>24.073</v>
      </c>
      <c r="J983" s="277">
        <v>1057.54</v>
      </c>
      <c r="K983" s="222">
        <v>24.072</v>
      </c>
      <c r="L983" s="277">
        <v>1057.54</v>
      </c>
      <c r="M983" s="146">
        <f t="shared" si="143"/>
        <v>0.02276225958356185</v>
      </c>
      <c r="N983" s="220">
        <v>343.02</v>
      </c>
      <c r="O983" s="148">
        <f t="shared" si="144"/>
        <v>7.807910282353386</v>
      </c>
      <c r="P983" s="208">
        <f t="shared" si="145"/>
        <v>1365.735575013711</v>
      </c>
      <c r="Q983" s="149">
        <f t="shared" si="146"/>
        <v>468.4746169412031</v>
      </c>
      <c r="S983" s="88"/>
      <c r="T983" s="88"/>
    </row>
    <row r="984" spans="1:20" s="92" customFormat="1" ht="12.75">
      <c r="A984" s="938"/>
      <c r="B984" s="97">
        <v>4</v>
      </c>
      <c r="C984" s="205" t="s">
        <v>805</v>
      </c>
      <c r="D984" s="524">
        <v>20</v>
      </c>
      <c r="E984" s="524" t="s">
        <v>67</v>
      </c>
      <c r="F984" s="525">
        <f t="shared" si="141"/>
        <v>26.029</v>
      </c>
      <c r="G984" s="525">
        <v>1.571</v>
      </c>
      <c r="H984" s="525">
        <v>3.2</v>
      </c>
      <c r="I984" s="525">
        <v>21.258</v>
      </c>
      <c r="J984" s="587">
        <v>932.16</v>
      </c>
      <c r="K984" s="525">
        <v>21.258</v>
      </c>
      <c r="L984" s="277">
        <v>932.16</v>
      </c>
      <c r="M984" s="146">
        <f t="shared" si="143"/>
        <v>0.022805097837281154</v>
      </c>
      <c r="N984" s="220">
        <v>343.02</v>
      </c>
      <c r="O984" s="148">
        <f t="shared" si="144"/>
        <v>7.822604660144181</v>
      </c>
      <c r="P984" s="208">
        <f t="shared" si="145"/>
        <v>1368.3058702368694</v>
      </c>
      <c r="Q984" s="149">
        <f t="shared" si="146"/>
        <v>469.3562796086509</v>
      </c>
      <c r="S984" s="98"/>
      <c r="T984" s="98"/>
    </row>
    <row r="985" spans="1:20" ht="12.75">
      <c r="A985" s="938"/>
      <c r="B985" s="34">
        <v>5</v>
      </c>
      <c r="C985" s="205" t="s">
        <v>469</v>
      </c>
      <c r="D985" s="135">
        <v>20</v>
      </c>
      <c r="E985" s="135" t="s">
        <v>67</v>
      </c>
      <c r="F985" s="222">
        <f t="shared" si="141"/>
        <v>27.49</v>
      </c>
      <c r="G985" s="222">
        <v>1.599</v>
      </c>
      <c r="H985" s="222">
        <v>3.2</v>
      </c>
      <c r="I985" s="222">
        <v>22.691</v>
      </c>
      <c r="J985" s="277">
        <v>971.69</v>
      </c>
      <c r="K985" s="222">
        <v>22.691</v>
      </c>
      <c r="L985" s="390">
        <v>971.69</v>
      </c>
      <c r="M985" s="146">
        <f t="shared" si="143"/>
        <v>0.02335209789130278</v>
      </c>
      <c r="N985" s="220">
        <v>343.02</v>
      </c>
      <c r="O985" s="148">
        <f t="shared" si="144"/>
        <v>8.010236618674679</v>
      </c>
      <c r="P985" s="208">
        <f t="shared" si="145"/>
        <v>1401.1258734781668</v>
      </c>
      <c r="Q985" s="149">
        <f t="shared" si="146"/>
        <v>480.61419712048075</v>
      </c>
      <c r="S985" s="88"/>
      <c r="T985" s="88"/>
    </row>
    <row r="986" spans="1:20" ht="12.75">
      <c r="A986" s="938"/>
      <c r="B986" s="34">
        <v>6</v>
      </c>
      <c r="C986" s="205" t="s">
        <v>390</v>
      </c>
      <c r="D986" s="134">
        <v>40</v>
      </c>
      <c r="E986" s="134" t="s">
        <v>67</v>
      </c>
      <c r="F986" s="388">
        <f>G986+H986+I986</f>
        <v>55.632000000000005</v>
      </c>
      <c r="G986" s="388">
        <v>3.254</v>
      </c>
      <c r="H986" s="388">
        <v>6.4</v>
      </c>
      <c r="I986" s="388">
        <v>45.978</v>
      </c>
      <c r="J986" s="390">
        <v>1960.74</v>
      </c>
      <c r="K986" s="388">
        <v>44.876</v>
      </c>
      <c r="L986" s="390">
        <v>1913.69</v>
      </c>
      <c r="M986" s="146">
        <f t="shared" si="143"/>
        <v>0.02344998406220443</v>
      </c>
      <c r="N986" s="220">
        <v>343.02</v>
      </c>
      <c r="O986" s="148">
        <f t="shared" si="144"/>
        <v>8.043813533017364</v>
      </c>
      <c r="P986" s="208">
        <f t="shared" si="145"/>
        <v>1406.9990437322656</v>
      </c>
      <c r="Q986" s="149">
        <f t="shared" si="146"/>
        <v>482.62881198104174</v>
      </c>
      <c r="S986" s="88"/>
      <c r="T986" s="88"/>
    </row>
    <row r="987" spans="1:20" ht="12.75">
      <c r="A987" s="938"/>
      <c r="B987" s="34">
        <v>7</v>
      </c>
      <c r="C987" s="205" t="s">
        <v>806</v>
      </c>
      <c r="D987" s="135">
        <v>22</v>
      </c>
      <c r="E987" s="135" t="s">
        <v>67</v>
      </c>
      <c r="F987" s="222">
        <f>G987+H987+I987</f>
        <v>34.806000000000004</v>
      </c>
      <c r="G987" s="222">
        <v>2.805</v>
      </c>
      <c r="H987" s="222">
        <v>3.52</v>
      </c>
      <c r="I987" s="222">
        <v>28.481</v>
      </c>
      <c r="J987" s="277">
        <v>1213.8</v>
      </c>
      <c r="K987" s="222">
        <v>28.481</v>
      </c>
      <c r="L987" s="277">
        <v>1213.8</v>
      </c>
      <c r="M987" s="146">
        <f t="shared" si="143"/>
        <v>0.023464326907233483</v>
      </c>
      <c r="N987" s="220">
        <v>343.02</v>
      </c>
      <c r="O987" s="148">
        <f t="shared" si="144"/>
        <v>8.048733415719228</v>
      </c>
      <c r="P987" s="208">
        <f t="shared" si="145"/>
        <v>1407.859614434009</v>
      </c>
      <c r="Q987" s="149">
        <f t="shared" si="146"/>
        <v>482.92400494315376</v>
      </c>
      <c r="S987" s="88"/>
      <c r="T987" s="88"/>
    </row>
    <row r="988" spans="1:20" s="92" customFormat="1" ht="12.75">
      <c r="A988" s="938"/>
      <c r="B988" s="97">
        <v>8</v>
      </c>
      <c r="C988" s="219" t="s">
        <v>468</v>
      </c>
      <c r="D988" s="135">
        <v>22</v>
      </c>
      <c r="E988" s="135" t="s">
        <v>67</v>
      </c>
      <c r="F988" s="222">
        <f>G988+H988+I988</f>
        <v>33.222</v>
      </c>
      <c r="G988" s="222">
        <v>1.29</v>
      </c>
      <c r="H988" s="222">
        <v>3.52</v>
      </c>
      <c r="I988" s="222">
        <v>28.412</v>
      </c>
      <c r="J988" s="277">
        <v>1209.73</v>
      </c>
      <c r="K988" s="222">
        <v>28.412</v>
      </c>
      <c r="L988" s="277">
        <v>1209.73</v>
      </c>
      <c r="M988" s="146">
        <f t="shared" si="143"/>
        <v>0.023486232465095517</v>
      </c>
      <c r="N988" s="220">
        <v>343.02</v>
      </c>
      <c r="O988" s="148">
        <f t="shared" si="144"/>
        <v>8.056247460177064</v>
      </c>
      <c r="P988" s="208">
        <f t="shared" si="145"/>
        <v>1409.173947905731</v>
      </c>
      <c r="Q988" s="149">
        <f t="shared" si="146"/>
        <v>483.3748476106238</v>
      </c>
      <c r="S988" s="98"/>
      <c r="T988" s="98"/>
    </row>
    <row r="989" spans="1:20" ht="12.75">
      <c r="A989" s="939"/>
      <c r="B989" s="75">
        <v>9</v>
      </c>
      <c r="C989" s="205" t="s">
        <v>807</v>
      </c>
      <c r="D989" s="135">
        <v>54</v>
      </c>
      <c r="E989" s="135" t="s">
        <v>67</v>
      </c>
      <c r="F989" s="222">
        <f>G989+H989+I989</f>
        <v>73.965</v>
      </c>
      <c r="G989" s="222">
        <v>5.114</v>
      </c>
      <c r="H989" s="222">
        <v>8.56</v>
      </c>
      <c r="I989" s="222">
        <v>60.291</v>
      </c>
      <c r="J989" s="277">
        <v>2541.89</v>
      </c>
      <c r="K989" s="222">
        <v>58.634</v>
      </c>
      <c r="L989" s="277">
        <v>2471.92</v>
      </c>
      <c r="M989" s="146">
        <f t="shared" si="143"/>
        <v>0.023720023301724975</v>
      </c>
      <c r="N989" s="220">
        <v>343.02</v>
      </c>
      <c r="O989" s="148">
        <f t="shared" si="144"/>
        <v>8.1364423929577</v>
      </c>
      <c r="P989" s="208">
        <f t="shared" si="145"/>
        <v>1423.2013981034986</v>
      </c>
      <c r="Q989" s="149">
        <f t="shared" si="146"/>
        <v>488.1865435774621</v>
      </c>
      <c r="S989" s="88"/>
      <c r="T989" s="88"/>
    </row>
    <row r="990" spans="1:20" ht="13.5" thickBot="1">
      <c r="A990" s="940"/>
      <c r="B990" s="36">
        <v>10</v>
      </c>
      <c r="C990" s="216" t="s">
        <v>808</v>
      </c>
      <c r="D990" s="136">
        <v>40</v>
      </c>
      <c r="E990" s="136" t="s">
        <v>67</v>
      </c>
      <c r="F990" s="312">
        <f>G990+H990+I990</f>
        <v>64.19</v>
      </c>
      <c r="G990" s="312">
        <v>4.452</v>
      </c>
      <c r="H990" s="312">
        <v>6.4</v>
      </c>
      <c r="I990" s="312">
        <v>53.338</v>
      </c>
      <c r="J990" s="278">
        <v>2248.6</v>
      </c>
      <c r="K990" s="312">
        <v>53.337</v>
      </c>
      <c r="L990" s="278">
        <v>2248.6</v>
      </c>
      <c r="M990" s="211">
        <f t="shared" si="143"/>
        <v>0.023720092502001248</v>
      </c>
      <c r="N990" s="221">
        <v>343.02</v>
      </c>
      <c r="O990" s="212">
        <f t="shared" si="144"/>
        <v>8.136466130036467</v>
      </c>
      <c r="P990" s="212">
        <f t="shared" si="145"/>
        <v>1423.2055501200748</v>
      </c>
      <c r="Q990" s="213">
        <f t="shared" si="146"/>
        <v>488.187967802188</v>
      </c>
      <c r="S990" s="88"/>
      <c r="T990" s="88"/>
    </row>
    <row r="991" spans="1:20" ht="12.75">
      <c r="A991" s="964" t="s">
        <v>12</v>
      </c>
      <c r="B991" s="39">
        <v>1</v>
      </c>
      <c r="C991" s="520" t="s">
        <v>809</v>
      </c>
      <c r="D991" s="435">
        <v>9</v>
      </c>
      <c r="E991" s="435" t="s">
        <v>67</v>
      </c>
      <c r="F991" s="356">
        <f aca="true" t="shared" si="147" ref="F991:F999">G991+H991+I991</f>
        <v>20.531</v>
      </c>
      <c r="G991" s="250">
        <v>1.234</v>
      </c>
      <c r="H991" s="250">
        <v>1.92</v>
      </c>
      <c r="I991" s="250">
        <v>17.377</v>
      </c>
      <c r="J991" s="274">
        <v>679.32</v>
      </c>
      <c r="K991" s="250">
        <v>15.053</v>
      </c>
      <c r="L991" s="391">
        <v>519.08</v>
      </c>
      <c r="M991" s="170">
        <f>K991/L991</f>
        <v>0.028999383524697542</v>
      </c>
      <c r="N991" s="472">
        <v>343.02</v>
      </c>
      <c r="O991" s="171">
        <f>M991*N991</f>
        <v>9.94736853664175</v>
      </c>
      <c r="P991" s="171">
        <f>M991*60*1000</f>
        <v>1739.9630114818526</v>
      </c>
      <c r="Q991" s="172">
        <f>P991*N991/1000</f>
        <v>596.8421121985051</v>
      </c>
      <c r="S991" s="88"/>
      <c r="T991" s="88"/>
    </row>
    <row r="992" spans="1:20" ht="12.75">
      <c r="A992" s="965"/>
      <c r="B992" s="41">
        <v>2</v>
      </c>
      <c r="C992" s="169" t="s">
        <v>810</v>
      </c>
      <c r="D992" s="137">
        <v>22</v>
      </c>
      <c r="E992" s="137" t="s">
        <v>67</v>
      </c>
      <c r="F992" s="218">
        <f t="shared" si="147"/>
        <v>40.644</v>
      </c>
      <c r="G992" s="218">
        <v>2.861</v>
      </c>
      <c r="H992" s="218">
        <v>3.52</v>
      </c>
      <c r="I992" s="218">
        <v>34.263</v>
      </c>
      <c r="J992" s="275">
        <v>1169.51</v>
      </c>
      <c r="K992" s="218">
        <v>34.264</v>
      </c>
      <c r="L992" s="275">
        <v>1169.51</v>
      </c>
      <c r="M992" s="150">
        <f aca="true" t="shared" si="148" ref="M992:M1000">K992/L992</f>
        <v>0.02929774007917846</v>
      </c>
      <c r="N992" s="137">
        <v>343.02</v>
      </c>
      <c r="O992" s="152">
        <f aca="true" t="shared" si="149" ref="O992:O1000">M992*N992</f>
        <v>10.049710801959796</v>
      </c>
      <c r="P992" s="171">
        <f aca="true" t="shared" si="150" ref="P992:P1000">M992*60*1000</f>
        <v>1757.8644047507078</v>
      </c>
      <c r="Q992" s="153">
        <f aca="true" t="shared" si="151" ref="Q992:Q1000">P992*N992/1000</f>
        <v>602.9826481175878</v>
      </c>
      <c r="S992" s="88"/>
      <c r="T992" s="88"/>
    </row>
    <row r="993" spans="1:20" ht="12.75">
      <c r="A993" s="965"/>
      <c r="B993" s="41">
        <v>3</v>
      </c>
      <c r="C993" s="257" t="s">
        <v>470</v>
      </c>
      <c r="D993" s="137">
        <v>8</v>
      </c>
      <c r="E993" s="137" t="s">
        <v>67</v>
      </c>
      <c r="F993" s="218">
        <f t="shared" si="147"/>
        <v>14.583</v>
      </c>
      <c r="G993" s="218">
        <v>0</v>
      </c>
      <c r="H993" s="218">
        <v>0</v>
      </c>
      <c r="I993" s="218">
        <v>14.583</v>
      </c>
      <c r="J993" s="275">
        <v>491.34</v>
      </c>
      <c r="K993" s="218">
        <v>14.583</v>
      </c>
      <c r="L993" s="275">
        <v>491.34</v>
      </c>
      <c r="M993" s="150">
        <f t="shared" si="148"/>
        <v>0.029680058615215534</v>
      </c>
      <c r="N993" s="137">
        <v>343.02</v>
      </c>
      <c r="O993" s="152">
        <f t="shared" si="149"/>
        <v>10.180853706191233</v>
      </c>
      <c r="P993" s="171">
        <f t="shared" si="150"/>
        <v>1780.8035169129319</v>
      </c>
      <c r="Q993" s="153">
        <f t="shared" si="151"/>
        <v>610.8512223714739</v>
      </c>
      <c r="S993" s="88"/>
      <c r="T993" s="88"/>
    </row>
    <row r="994" spans="1:20" ht="12.75">
      <c r="A994" s="965"/>
      <c r="B994" s="41">
        <v>4</v>
      </c>
      <c r="C994" s="169" t="s">
        <v>811</v>
      </c>
      <c r="D994" s="137">
        <v>47</v>
      </c>
      <c r="E994" s="137" t="s">
        <v>67</v>
      </c>
      <c r="F994" s="218">
        <f t="shared" si="147"/>
        <v>40.64</v>
      </c>
      <c r="G994" s="218">
        <v>3.08</v>
      </c>
      <c r="H994" s="218">
        <v>1.44</v>
      </c>
      <c r="I994" s="218">
        <v>36.12</v>
      </c>
      <c r="J994" s="275">
        <v>1214.4</v>
      </c>
      <c r="K994" s="218">
        <v>36.12</v>
      </c>
      <c r="L994" s="275">
        <v>1214.4</v>
      </c>
      <c r="M994" s="150">
        <f t="shared" si="148"/>
        <v>0.029743083003952564</v>
      </c>
      <c r="N994" s="137">
        <v>343.02</v>
      </c>
      <c r="O994" s="152">
        <f t="shared" si="149"/>
        <v>10.202472332015809</v>
      </c>
      <c r="P994" s="171">
        <f t="shared" si="150"/>
        <v>1784.5849802371538</v>
      </c>
      <c r="Q994" s="153">
        <f t="shared" si="151"/>
        <v>612.1483399209485</v>
      </c>
      <c r="S994" s="88"/>
      <c r="T994" s="88"/>
    </row>
    <row r="995" spans="1:20" ht="12.75">
      <c r="A995" s="965"/>
      <c r="B995" s="41">
        <v>5</v>
      </c>
      <c r="C995" s="257" t="s">
        <v>471</v>
      </c>
      <c r="D995" s="137">
        <v>12</v>
      </c>
      <c r="E995" s="137" t="s">
        <v>67</v>
      </c>
      <c r="F995" s="218">
        <f t="shared" si="147"/>
        <v>23.393</v>
      </c>
      <c r="G995" s="218">
        <v>0.673</v>
      </c>
      <c r="H995" s="218">
        <v>1.6</v>
      </c>
      <c r="I995" s="218">
        <v>21.12</v>
      </c>
      <c r="J995" s="275">
        <v>701.96</v>
      </c>
      <c r="K995" s="218">
        <v>21.12</v>
      </c>
      <c r="L995" s="275">
        <v>701.96</v>
      </c>
      <c r="M995" s="150">
        <f t="shared" si="148"/>
        <v>0.0300871844549547</v>
      </c>
      <c r="N995" s="137">
        <v>343.02</v>
      </c>
      <c r="O995" s="152">
        <f t="shared" si="149"/>
        <v>10.32050601173856</v>
      </c>
      <c r="P995" s="171">
        <f t="shared" si="150"/>
        <v>1805.231067297282</v>
      </c>
      <c r="Q995" s="153">
        <f t="shared" si="151"/>
        <v>619.2303607043136</v>
      </c>
      <c r="S995" s="88"/>
      <c r="T995" s="88"/>
    </row>
    <row r="996" spans="1:20" ht="12.75">
      <c r="A996" s="965"/>
      <c r="B996" s="41">
        <v>6</v>
      </c>
      <c r="C996" s="169" t="s">
        <v>472</v>
      </c>
      <c r="D996" s="137">
        <v>13</v>
      </c>
      <c r="E996" s="137" t="s">
        <v>67</v>
      </c>
      <c r="F996" s="218">
        <f t="shared" si="147"/>
        <v>25.81</v>
      </c>
      <c r="G996" s="218">
        <v>1.122</v>
      </c>
      <c r="H996" s="218">
        <v>2.25</v>
      </c>
      <c r="I996" s="218">
        <v>22.438</v>
      </c>
      <c r="J996" s="275">
        <v>880.52</v>
      </c>
      <c r="K996" s="218">
        <v>16.84</v>
      </c>
      <c r="L996" s="275">
        <v>522.48</v>
      </c>
      <c r="M996" s="150">
        <f t="shared" si="148"/>
        <v>0.03223089879038432</v>
      </c>
      <c r="N996" s="137">
        <v>343.02</v>
      </c>
      <c r="O996" s="152">
        <f t="shared" si="149"/>
        <v>11.055842903077629</v>
      </c>
      <c r="P996" s="171">
        <f t="shared" si="150"/>
        <v>1933.8539274230593</v>
      </c>
      <c r="Q996" s="153">
        <f t="shared" si="151"/>
        <v>663.3505741846577</v>
      </c>
      <c r="S996" s="88"/>
      <c r="T996" s="88"/>
    </row>
    <row r="997" spans="1:20" ht="12.75">
      <c r="A997" s="965"/>
      <c r="B997" s="41">
        <v>7</v>
      </c>
      <c r="C997" s="257" t="s">
        <v>288</v>
      </c>
      <c r="D997" s="137">
        <v>8</v>
      </c>
      <c r="E997" s="137" t="s">
        <v>67</v>
      </c>
      <c r="F997" s="218">
        <f t="shared" si="147"/>
        <v>14.030999999999999</v>
      </c>
      <c r="G997" s="218">
        <v>0.224</v>
      </c>
      <c r="H997" s="218">
        <v>1.28</v>
      </c>
      <c r="I997" s="218">
        <v>12.527</v>
      </c>
      <c r="J997" s="275">
        <v>354.78</v>
      </c>
      <c r="K997" s="218">
        <v>12.526</v>
      </c>
      <c r="L997" s="275">
        <v>354.78</v>
      </c>
      <c r="M997" s="150">
        <f t="shared" si="148"/>
        <v>0.03530638705676758</v>
      </c>
      <c r="N997" s="137">
        <v>343.02</v>
      </c>
      <c r="O997" s="152">
        <f t="shared" si="149"/>
        <v>12.110796888212414</v>
      </c>
      <c r="P997" s="171">
        <f t="shared" si="150"/>
        <v>2118.3832234060546</v>
      </c>
      <c r="Q997" s="153">
        <f t="shared" si="151"/>
        <v>726.6478132927448</v>
      </c>
      <c r="S997" s="88"/>
      <c r="T997" s="88"/>
    </row>
    <row r="998" spans="1:20" ht="12.75">
      <c r="A998" s="965"/>
      <c r="B998" s="41">
        <v>8</v>
      </c>
      <c r="C998" s="169" t="s">
        <v>290</v>
      </c>
      <c r="D998" s="137">
        <v>9</v>
      </c>
      <c r="E998" s="137" t="s">
        <v>67</v>
      </c>
      <c r="F998" s="218">
        <f t="shared" si="147"/>
        <v>17.272</v>
      </c>
      <c r="G998" s="218">
        <v>0.842</v>
      </c>
      <c r="H998" s="218">
        <v>1.6</v>
      </c>
      <c r="I998" s="218">
        <v>14.83</v>
      </c>
      <c r="J998" s="275">
        <v>407.19</v>
      </c>
      <c r="K998" s="218">
        <v>12.977</v>
      </c>
      <c r="L998" s="275">
        <v>356.36</v>
      </c>
      <c r="M998" s="150">
        <f t="shared" si="148"/>
        <v>0.03641542260635312</v>
      </c>
      <c r="N998" s="137">
        <v>343.02</v>
      </c>
      <c r="O998" s="152">
        <f t="shared" si="149"/>
        <v>12.491218262431248</v>
      </c>
      <c r="P998" s="171">
        <f t="shared" si="150"/>
        <v>2184.9253563811876</v>
      </c>
      <c r="Q998" s="153">
        <f t="shared" si="151"/>
        <v>749.473095745875</v>
      </c>
      <c r="S998" s="88"/>
      <c r="T998" s="88"/>
    </row>
    <row r="999" spans="1:20" ht="12.75">
      <c r="A999" s="965"/>
      <c r="B999" s="41">
        <v>9</v>
      </c>
      <c r="C999" s="257" t="s">
        <v>812</v>
      </c>
      <c r="D999" s="137">
        <v>8</v>
      </c>
      <c r="E999" s="137" t="s">
        <v>67</v>
      </c>
      <c r="F999" s="218">
        <f t="shared" si="147"/>
        <v>23.304</v>
      </c>
      <c r="G999" s="218">
        <v>0.281</v>
      </c>
      <c r="H999" s="218">
        <v>1.84</v>
      </c>
      <c r="I999" s="218">
        <v>21.183</v>
      </c>
      <c r="J999" s="275">
        <v>775.39</v>
      </c>
      <c r="K999" s="218">
        <v>15.947</v>
      </c>
      <c r="L999" s="275">
        <v>426.62</v>
      </c>
      <c r="M999" s="150">
        <f t="shared" si="148"/>
        <v>0.03737986967324551</v>
      </c>
      <c r="N999" s="137">
        <v>343.02</v>
      </c>
      <c r="O999" s="152">
        <f t="shared" si="149"/>
        <v>12.822042895316674</v>
      </c>
      <c r="P999" s="171">
        <f t="shared" si="150"/>
        <v>2242.7921803947306</v>
      </c>
      <c r="Q999" s="153">
        <f t="shared" si="151"/>
        <v>769.3225737190004</v>
      </c>
      <c r="S999" s="88"/>
      <c r="T999" s="88"/>
    </row>
    <row r="1000" spans="1:20" ht="13.5" thickBot="1">
      <c r="A1000" s="966"/>
      <c r="B1000" s="45">
        <v>10</v>
      </c>
      <c r="C1000" s="521" t="s">
        <v>289</v>
      </c>
      <c r="D1000" s="473">
        <v>7</v>
      </c>
      <c r="E1000" s="473" t="s">
        <v>67</v>
      </c>
      <c r="F1000" s="357">
        <f>G1000+H1000+I1000</f>
        <v>17.16</v>
      </c>
      <c r="G1000" s="251">
        <v>0.281</v>
      </c>
      <c r="H1000" s="251">
        <v>1.28</v>
      </c>
      <c r="I1000" s="251">
        <v>15.599</v>
      </c>
      <c r="J1000" s="365">
        <v>364.99</v>
      </c>
      <c r="K1000" s="251">
        <v>13.515</v>
      </c>
      <c r="L1000" s="365">
        <v>316.21</v>
      </c>
      <c r="M1000" s="154">
        <f t="shared" si="148"/>
        <v>0.04274058378925398</v>
      </c>
      <c r="N1000" s="473">
        <v>343.02</v>
      </c>
      <c r="O1000" s="156">
        <f t="shared" si="149"/>
        <v>14.6608750513899</v>
      </c>
      <c r="P1000" s="156">
        <f t="shared" si="150"/>
        <v>2564.435027355239</v>
      </c>
      <c r="Q1000" s="157">
        <f t="shared" si="151"/>
        <v>879.652503083394</v>
      </c>
      <c r="S1000" s="88"/>
      <c r="T1000" s="88"/>
    </row>
    <row r="1001" spans="19:20" ht="12.75">
      <c r="S1001" s="88"/>
      <c r="T1001" s="88"/>
    </row>
    <row r="1002" spans="19:20" ht="12.75">
      <c r="S1002" s="88"/>
      <c r="T1002" s="88"/>
    </row>
    <row r="1003" spans="19:20" ht="12.75">
      <c r="S1003" s="88"/>
      <c r="T1003" s="88"/>
    </row>
    <row r="1004" spans="19:20" ht="12.75">
      <c r="S1004" s="88"/>
      <c r="T1004" s="88"/>
    </row>
    <row r="1005" spans="19:20" ht="12.75">
      <c r="S1005" s="88"/>
      <c r="T1005" s="88"/>
    </row>
    <row r="1006" spans="1:20" ht="15">
      <c r="A1006" s="967" t="s">
        <v>510</v>
      </c>
      <c r="B1006" s="967"/>
      <c r="C1006" s="967"/>
      <c r="D1006" s="967"/>
      <c r="E1006" s="967"/>
      <c r="F1006" s="967"/>
      <c r="G1006" s="967"/>
      <c r="H1006" s="967"/>
      <c r="I1006" s="967"/>
      <c r="J1006" s="967"/>
      <c r="K1006" s="967"/>
      <c r="L1006" s="967"/>
      <c r="M1006" s="967"/>
      <c r="N1006" s="967"/>
      <c r="O1006" s="967"/>
      <c r="P1006" s="967"/>
      <c r="Q1006" s="967"/>
      <c r="S1006" s="88"/>
      <c r="T1006" s="88"/>
    </row>
    <row r="1007" spans="1:20" ht="13.5" thickBot="1">
      <c r="A1007" s="968" t="s">
        <v>814</v>
      </c>
      <c r="B1007" s="968"/>
      <c r="C1007" s="968"/>
      <c r="D1007" s="968"/>
      <c r="E1007" s="968"/>
      <c r="F1007" s="968"/>
      <c r="G1007" s="968"/>
      <c r="H1007" s="968"/>
      <c r="I1007" s="968"/>
      <c r="J1007" s="968"/>
      <c r="K1007" s="968"/>
      <c r="L1007" s="968"/>
      <c r="M1007" s="968"/>
      <c r="N1007" s="968"/>
      <c r="O1007" s="968"/>
      <c r="P1007" s="968"/>
      <c r="Q1007" s="968"/>
      <c r="S1007" s="88"/>
      <c r="T1007" s="88"/>
    </row>
    <row r="1008" spans="1:20" ht="12.75" customHeight="1">
      <c r="A1008" s="952" t="s">
        <v>1</v>
      </c>
      <c r="B1008" s="955" t="s">
        <v>0</v>
      </c>
      <c r="C1008" s="944" t="s">
        <v>2</v>
      </c>
      <c r="D1008" s="944" t="s">
        <v>3</v>
      </c>
      <c r="E1008" s="944" t="s">
        <v>13</v>
      </c>
      <c r="F1008" s="960" t="s">
        <v>14</v>
      </c>
      <c r="G1008" s="961"/>
      <c r="H1008" s="961"/>
      <c r="I1008" s="962"/>
      <c r="J1008" s="944" t="s">
        <v>4</v>
      </c>
      <c r="K1008" s="944" t="s">
        <v>15</v>
      </c>
      <c r="L1008" s="944" t="s">
        <v>5</v>
      </c>
      <c r="M1008" s="944" t="s">
        <v>6</v>
      </c>
      <c r="N1008" s="944" t="s">
        <v>16</v>
      </c>
      <c r="O1008" s="969" t="s">
        <v>17</v>
      </c>
      <c r="P1008" s="944" t="s">
        <v>25</v>
      </c>
      <c r="Q1008" s="929" t="s">
        <v>26</v>
      </c>
      <c r="S1008" s="88"/>
      <c r="T1008" s="88"/>
    </row>
    <row r="1009" spans="1:20" s="2" customFormat="1" ht="33.75">
      <c r="A1009" s="953"/>
      <c r="B1009" s="956"/>
      <c r="C1009" s="958"/>
      <c r="D1009" s="945"/>
      <c r="E1009" s="945"/>
      <c r="F1009" s="37" t="s">
        <v>18</v>
      </c>
      <c r="G1009" s="37" t="s">
        <v>19</v>
      </c>
      <c r="H1009" s="37" t="s">
        <v>20</v>
      </c>
      <c r="I1009" s="37" t="s">
        <v>21</v>
      </c>
      <c r="J1009" s="945"/>
      <c r="K1009" s="945"/>
      <c r="L1009" s="945"/>
      <c r="M1009" s="945"/>
      <c r="N1009" s="945"/>
      <c r="O1009" s="970"/>
      <c r="P1009" s="945"/>
      <c r="Q1009" s="930"/>
      <c r="S1009" s="88"/>
      <c r="T1009" s="88"/>
    </row>
    <row r="1010" spans="1:20" s="3" customFormat="1" ht="13.5" customHeight="1" thickBot="1">
      <c r="A1010" s="954"/>
      <c r="B1010" s="957"/>
      <c r="C1010" s="959"/>
      <c r="D1010" s="58" t="s">
        <v>7</v>
      </c>
      <c r="E1010" s="58" t="s">
        <v>8</v>
      </c>
      <c r="F1010" s="58" t="s">
        <v>9</v>
      </c>
      <c r="G1010" s="58" t="s">
        <v>9</v>
      </c>
      <c r="H1010" s="58" t="s">
        <v>9</v>
      </c>
      <c r="I1010" s="58" t="s">
        <v>9</v>
      </c>
      <c r="J1010" s="58" t="s">
        <v>22</v>
      </c>
      <c r="K1010" s="58" t="s">
        <v>9</v>
      </c>
      <c r="L1010" s="58" t="s">
        <v>22</v>
      </c>
      <c r="M1010" s="58" t="s">
        <v>134</v>
      </c>
      <c r="N1010" s="58" t="s">
        <v>10</v>
      </c>
      <c r="O1010" s="58" t="s">
        <v>135</v>
      </c>
      <c r="P1010" s="59" t="s">
        <v>27</v>
      </c>
      <c r="Q1010" s="60" t="s">
        <v>28</v>
      </c>
      <c r="S1010" s="88"/>
      <c r="T1010" s="88"/>
    </row>
    <row r="1011" spans="1:20" s="92" customFormat="1" ht="12.75" customHeight="1">
      <c r="A1011" s="999" t="s">
        <v>11</v>
      </c>
      <c r="B1011" s="99">
        <v>1</v>
      </c>
      <c r="C1011" s="202" t="s">
        <v>488</v>
      </c>
      <c r="D1011" s="159">
        <v>20</v>
      </c>
      <c r="E1011" s="159">
        <v>2011</v>
      </c>
      <c r="F1011" s="253">
        <v>17.2</v>
      </c>
      <c r="G1011" s="253">
        <f>47*0.051</f>
        <v>2.397</v>
      </c>
      <c r="H1011" s="253">
        <v>1.6</v>
      </c>
      <c r="I1011" s="253">
        <f>+F1011-G1011-H1011</f>
        <v>13.203</v>
      </c>
      <c r="J1011" s="454"/>
      <c r="K1011" s="253">
        <v>12.9</v>
      </c>
      <c r="L1011" s="270">
        <v>1113.2</v>
      </c>
      <c r="M1011" s="173">
        <f>K1011/L1011</f>
        <v>0.011588214157384117</v>
      </c>
      <c r="N1011" s="160">
        <v>337.2</v>
      </c>
      <c r="O1011" s="164">
        <f>M1011*N1011</f>
        <v>3.907545813869924</v>
      </c>
      <c r="P1011" s="164">
        <f>M1011*60*1000</f>
        <v>695.2928494430471</v>
      </c>
      <c r="Q1011" s="203">
        <f>P1011*N1011/1000</f>
        <v>234.45274883219548</v>
      </c>
      <c r="R1011" s="101"/>
      <c r="S1011" s="88"/>
      <c r="T1011" s="88"/>
    </row>
    <row r="1012" spans="1:20" s="92" customFormat="1" ht="12.75">
      <c r="A1012" s="1000"/>
      <c r="B1012" s="102">
        <v>2</v>
      </c>
      <c r="C1012" s="158"/>
      <c r="D1012" s="132"/>
      <c r="E1012" s="132"/>
      <c r="F1012" s="248"/>
      <c r="G1012" s="248"/>
      <c r="H1012" s="248"/>
      <c r="I1012" s="248"/>
      <c r="J1012" s="271"/>
      <c r="K1012" s="248"/>
      <c r="L1012" s="271"/>
      <c r="M1012" s="141"/>
      <c r="N1012" s="142"/>
      <c r="O1012" s="143"/>
      <c r="P1012" s="164"/>
      <c r="Q1012" s="144"/>
      <c r="R1012" s="101"/>
      <c r="S1012" s="88"/>
      <c r="T1012" s="88"/>
    </row>
    <row r="1013" spans="1:20" s="92" customFormat="1" ht="12.75">
      <c r="A1013" s="916"/>
      <c r="B1013" s="91">
        <v>3</v>
      </c>
      <c r="C1013" s="158"/>
      <c r="D1013" s="132"/>
      <c r="E1013" s="132"/>
      <c r="F1013" s="248"/>
      <c r="G1013" s="248"/>
      <c r="H1013" s="248"/>
      <c r="I1013" s="248"/>
      <c r="J1013" s="271"/>
      <c r="K1013" s="248"/>
      <c r="L1013" s="271"/>
      <c r="M1013" s="141"/>
      <c r="N1013" s="142"/>
      <c r="O1013" s="143"/>
      <c r="P1013" s="164"/>
      <c r="Q1013" s="144"/>
      <c r="S1013" s="88"/>
      <c r="T1013" s="88"/>
    </row>
    <row r="1014" spans="1:20" s="92" customFormat="1" ht="12.75" customHeight="1">
      <c r="A1014" s="916"/>
      <c r="B1014" s="91">
        <v>4</v>
      </c>
      <c r="C1014" s="158"/>
      <c r="D1014" s="132"/>
      <c r="E1014" s="132"/>
      <c r="F1014" s="248"/>
      <c r="G1014" s="248"/>
      <c r="H1014" s="248"/>
      <c r="I1014" s="248"/>
      <c r="J1014" s="271"/>
      <c r="K1014" s="248"/>
      <c r="L1014" s="271"/>
      <c r="M1014" s="141"/>
      <c r="N1014" s="142"/>
      <c r="O1014" s="143"/>
      <c r="P1014" s="164"/>
      <c r="Q1014" s="144"/>
      <c r="S1014" s="88"/>
      <c r="T1014" s="88"/>
    </row>
    <row r="1015" spans="1:20" s="92" customFormat="1" ht="12.75">
      <c r="A1015" s="916"/>
      <c r="B1015" s="91">
        <v>5</v>
      </c>
      <c r="C1015" s="158"/>
      <c r="D1015" s="132"/>
      <c r="E1015" s="132"/>
      <c r="F1015" s="248"/>
      <c r="G1015" s="248"/>
      <c r="H1015" s="248"/>
      <c r="I1015" s="248"/>
      <c r="J1015" s="271"/>
      <c r="K1015" s="248"/>
      <c r="L1015" s="271"/>
      <c r="M1015" s="141"/>
      <c r="N1015" s="142"/>
      <c r="O1015" s="143"/>
      <c r="P1015" s="164"/>
      <c r="Q1015" s="144"/>
      <c r="S1015" s="88"/>
      <c r="T1015" s="88"/>
    </row>
    <row r="1016" spans="1:20" s="92" customFormat="1" ht="12.75">
      <c r="A1016" s="916"/>
      <c r="B1016" s="91">
        <v>6</v>
      </c>
      <c r="C1016" s="158"/>
      <c r="D1016" s="132"/>
      <c r="E1016" s="132"/>
      <c r="F1016" s="248"/>
      <c r="G1016" s="248"/>
      <c r="H1016" s="248"/>
      <c r="I1016" s="248"/>
      <c r="J1016" s="271"/>
      <c r="K1016" s="248"/>
      <c r="L1016" s="271"/>
      <c r="M1016" s="141"/>
      <c r="N1016" s="142"/>
      <c r="O1016" s="143"/>
      <c r="P1016" s="164"/>
      <c r="Q1016" s="144"/>
      <c r="S1016" s="88"/>
      <c r="T1016" s="88"/>
    </row>
    <row r="1017" spans="1:20" s="92" customFormat="1" ht="12.75">
      <c r="A1017" s="916"/>
      <c r="B1017" s="91">
        <v>7</v>
      </c>
      <c r="C1017" s="158"/>
      <c r="D1017" s="132"/>
      <c r="E1017" s="132"/>
      <c r="F1017" s="248"/>
      <c r="G1017" s="248"/>
      <c r="H1017" s="248"/>
      <c r="I1017" s="248"/>
      <c r="J1017" s="271"/>
      <c r="K1017" s="248"/>
      <c r="L1017" s="271"/>
      <c r="M1017" s="141"/>
      <c r="N1017" s="142"/>
      <c r="O1017" s="143"/>
      <c r="P1017" s="164"/>
      <c r="Q1017" s="144"/>
      <c r="S1017" s="88"/>
      <c r="T1017" s="88"/>
    </row>
    <row r="1018" spans="1:20" s="92" customFormat="1" ht="12.75">
      <c r="A1018" s="916"/>
      <c r="B1018" s="91">
        <v>8</v>
      </c>
      <c r="C1018" s="158"/>
      <c r="D1018" s="132"/>
      <c r="E1018" s="132"/>
      <c r="F1018" s="248"/>
      <c r="G1018" s="248"/>
      <c r="H1018" s="248"/>
      <c r="I1018" s="248"/>
      <c r="J1018" s="271"/>
      <c r="K1018" s="248"/>
      <c r="L1018" s="271"/>
      <c r="M1018" s="141"/>
      <c r="N1018" s="142"/>
      <c r="O1018" s="143"/>
      <c r="P1018" s="164"/>
      <c r="Q1018" s="144"/>
      <c r="S1018" s="88"/>
      <c r="T1018" s="88"/>
    </row>
    <row r="1019" spans="1:20" s="92" customFormat="1" ht="13.5" thickBot="1">
      <c r="A1019" s="917"/>
      <c r="B1019" s="91">
        <v>9</v>
      </c>
      <c r="C1019" s="161"/>
      <c r="D1019" s="133"/>
      <c r="E1019" s="133"/>
      <c r="F1019" s="249"/>
      <c r="G1019" s="249"/>
      <c r="H1019" s="249"/>
      <c r="I1019" s="249"/>
      <c r="J1019" s="272"/>
      <c r="K1019" s="249"/>
      <c r="L1019" s="272"/>
      <c r="M1019" s="174"/>
      <c r="N1019" s="162"/>
      <c r="O1019" s="273"/>
      <c r="P1019" s="175"/>
      <c r="Q1019" s="165"/>
      <c r="S1019" s="88"/>
      <c r="T1019" s="88"/>
    </row>
    <row r="1020" spans="1:20" s="92" customFormat="1" ht="12.75" customHeight="1">
      <c r="A1020" s="949" t="s">
        <v>29</v>
      </c>
      <c r="B1020" s="758">
        <v>1</v>
      </c>
      <c r="C1020" s="709" t="s">
        <v>491</v>
      </c>
      <c r="D1020" s="710">
        <v>26</v>
      </c>
      <c r="E1020" s="710" t="s">
        <v>67</v>
      </c>
      <c r="F1020" s="712">
        <v>24.5</v>
      </c>
      <c r="G1020" s="712">
        <f>57*0.051</f>
        <v>2.907</v>
      </c>
      <c r="H1020" s="712">
        <f>26*0.16</f>
        <v>4.16</v>
      </c>
      <c r="I1020" s="711">
        <f aca="true" t="shared" si="152" ref="I1020:I1032">+F1020-G1020-H1020</f>
        <v>17.433</v>
      </c>
      <c r="J1020" s="759"/>
      <c r="K1020" s="712">
        <f aca="true" t="shared" si="153" ref="K1020:K1048">+I1020</f>
        <v>17.433</v>
      </c>
      <c r="L1020" s="713">
        <v>1332.27</v>
      </c>
      <c r="M1020" s="714">
        <f aca="true" t="shared" si="154" ref="M1020:M1048">K1020/L1020</f>
        <v>0.013085185435384719</v>
      </c>
      <c r="N1020" s="715">
        <v>337.2</v>
      </c>
      <c r="O1020" s="716">
        <f aca="true" t="shared" si="155" ref="O1020:O1048">M1020*N1020</f>
        <v>4.412324528811727</v>
      </c>
      <c r="P1020" s="716">
        <f aca="true" t="shared" si="156" ref="P1020:P1048">M1020*60*1000</f>
        <v>785.1111261230831</v>
      </c>
      <c r="Q1020" s="717">
        <f aca="true" t="shared" si="157" ref="Q1020:Q1048">P1020*N1020/1000</f>
        <v>264.73947172870356</v>
      </c>
      <c r="S1020" s="88"/>
      <c r="T1020" s="88"/>
    </row>
    <row r="1021" spans="1:20" s="92" customFormat="1" ht="12.75" customHeight="1">
      <c r="A1021" s="950"/>
      <c r="B1021" s="755">
        <v>2</v>
      </c>
      <c r="C1021" s="709" t="s">
        <v>492</v>
      </c>
      <c r="D1021" s="710">
        <v>39</v>
      </c>
      <c r="E1021" s="710" t="s">
        <v>67</v>
      </c>
      <c r="F1021" s="711">
        <v>39.4</v>
      </c>
      <c r="G1021" s="711">
        <f>64.21*0.051</f>
        <v>3.2747099999999993</v>
      </c>
      <c r="H1021" s="711">
        <f>9.515-G1021</f>
        <v>6.240290000000002</v>
      </c>
      <c r="I1021" s="711">
        <f t="shared" si="152"/>
        <v>29.884999999999998</v>
      </c>
      <c r="J1021" s="754"/>
      <c r="K1021" s="711">
        <f t="shared" si="153"/>
        <v>29.884999999999998</v>
      </c>
      <c r="L1021" s="719">
        <v>2158.14</v>
      </c>
      <c r="M1021" s="714">
        <f t="shared" si="154"/>
        <v>0.013847572446643868</v>
      </c>
      <c r="N1021" s="715">
        <v>337.2</v>
      </c>
      <c r="O1021" s="716">
        <f t="shared" si="155"/>
        <v>4.669401429008312</v>
      </c>
      <c r="P1021" s="716">
        <f t="shared" si="156"/>
        <v>830.8543467986322</v>
      </c>
      <c r="Q1021" s="717">
        <f t="shared" si="157"/>
        <v>280.1640857404987</v>
      </c>
      <c r="S1021" s="88"/>
      <c r="T1021" s="88"/>
    </row>
    <row r="1022" spans="1:20" ht="12.75" customHeight="1">
      <c r="A1022" s="950"/>
      <c r="B1022" s="725">
        <v>3</v>
      </c>
      <c r="C1022" s="709" t="s">
        <v>487</v>
      </c>
      <c r="D1022" s="710">
        <v>20</v>
      </c>
      <c r="E1022" s="710" t="s">
        <v>67</v>
      </c>
      <c r="F1022" s="711">
        <v>23.6</v>
      </c>
      <c r="G1022" s="711">
        <f>31*0.051</f>
        <v>1.581</v>
      </c>
      <c r="H1022" s="711">
        <f>25*0.16</f>
        <v>4</v>
      </c>
      <c r="I1022" s="711">
        <f t="shared" si="152"/>
        <v>18.019000000000002</v>
      </c>
      <c r="J1022" s="754"/>
      <c r="K1022" s="711">
        <f t="shared" si="153"/>
        <v>18.019000000000002</v>
      </c>
      <c r="L1022" s="719">
        <v>1276.41</v>
      </c>
      <c r="M1022" s="721">
        <f t="shared" si="154"/>
        <v>0.014116937347717427</v>
      </c>
      <c r="N1022" s="715">
        <v>337.2</v>
      </c>
      <c r="O1022" s="716">
        <f t="shared" si="155"/>
        <v>4.760231273650317</v>
      </c>
      <c r="P1022" s="716">
        <f t="shared" si="156"/>
        <v>847.0162408630456</v>
      </c>
      <c r="Q1022" s="722">
        <f t="shared" si="157"/>
        <v>285.61387641901894</v>
      </c>
      <c r="S1022" s="88"/>
      <c r="T1022" s="88"/>
    </row>
    <row r="1023" spans="1:20" ht="12.75" customHeight="1">
      <c r="A1023" s="950"/>
      <c r="B1023" s="725">
        <v>4</v>
      </c>
      <c r="C1023" s="709" t="s">
        <v>815</v>
      </c>
      <c r="D1023" s="710">
        <v>30</v>
      </c>
      <c r="E1023" s="710" t="s">
        <v>67</v>
      </c>
      <c r="F1023" s="711">
        <v>30.5</v>
      </c>
      <c r="G1023" s="711">
        <f>51*0.051</f>
        <v>2.601</v>
      </c>
      <c r="H1023" s="711">
        <f>30*0.16</f>
        <v>4.8</v>
      </c>
      <c r="I1023" s="711">
        <f t="shared" si="152"/>
        <v>23.099</v>
      </c>
      <c r="J1023" s="754"/>
      <c r="K1023" s="711">
        <f t="shared" si="153"/>
        <v>23.099</v>
      </c>
      <c r="L1023" s="719">
        <v>1626.42</v>
      </c>
      <c r="M1023" s="721">
        <f t="shared" si="154"/>
        <v>0.014202358554370948</v>
      </c>
      <c r="N1023" s="715">
        <v>337.2</v>
      </c>
      <c r="O1023" s="723">
        <f t="shared" si="155"/>
        <v>4.789035304533884</v>
      </c>
      <c r="P1023" s="716">
        <f t="shared" si="156"/>
        <v>852.1415132622569</v>
      </c>
      <c r="Q1023" s="722">
        <f t="shared" si="157"/>
        <v>287.342118272033</v>
      </c>
      <c r="S1023" s="88"/>
      <c r="T1023" s="88"/>
    </row>
    <row r="1024" spans="1:20" ht="12.75" customHeight="1">
      <c r="A1024" s="950"/>
      <c r="B1024" s="725">
        <v>5</v>
      </c>
      <c r="C1024" s="709" t="s">
        <v>816</v>
      </c>
      <c r="D1024" s="710">
        <v>30</v>
      </c>
      <c r="E1024" s="710" t="s">
        <v>67</v>
      </c>
      <c r="F1024" s="711">
        <v>31</v>
      </c>
      <c r="G1024" s="711">
        <f>47.6*0.051</f>
        <v>2.4276</v>
      </c>
      <c r="H1024" s="711">
        <f>30*0.16</f>
        <v>4.8</v>
      </c>
      <c r="I1024" s="711">
        <f t="shared" si="152"/>
        <v>23.7724</v>
      </c>
      <c r="J1024" s="754"/>
      <c r="K1024" s="711">
        <f t="shared" si="153"/>
        <v>23.7724</v>
      </c>
      <c r="L1024" s="719">
        <v>1592.21</v>
      </c>
      <c r="M1024" s="721">
        <f t="shared" si="154"/>
        <v>0.01493044259237161</v>
      </c>
      <c r="N1024" s="715">
        <v>337.2</v>
      </c>
      <c r="O1024" s="723">
        <f t="shared" si="155"/>
        <v>5.034545242147707</v>
      </c>
      <c r="P1024" s="716">
        <f t="shared" si="156"/>
        <v>895.8265555422967</v>
      </c>
      <c r="Q1024" s="722">
        <f t="shared" si="157"/>
        <v>302.07271452886243</v>
      </c>
      <c r="S1024" s="88"/>
      <c r="T1024" s="88"/>
    </row>
    <row r="1025" spans="1:20" ht="12.75" customHeight="1">
      <c r="A1025" s="950"/>
      <c r="B1025" s="725">
        <v>6</v>
      </c>
      <c r="C1025" s="709" t="s">
        <v>490</v>
      </c>
      <c r="D1025" s="710">
        <v>65</v>
      </c>
      <c r="E1025" s="710" t="s">
        <v>67</v>
      </c>
      <c r="F1025" s="711">
        <v>49</v>
      </c>
      <c r="G1025" s="711">
        <f>76.52*0.051</f>
        <v>3.9025199999999995</v>
      </c>
      <c r="H1025" s="711">
        <f>13.855-G1025</f>
        <v>9.952480000000001</v>
      </c>
      <c r="I1025" s="711">
        <f t="shared" si="152"/>
        <v>35.144999999999996</v>
      </c>
      <c r="J1025" s="754"/>
      <c r="K1025" s="711">
        <f t="shared" si="153"/>
        <v>35.144999999999996</v>
      </c>
      <c r="L1025" s="719">
        <v>2338.13</v>
      </c>
      <c r="M1025" s="721">
        <f t="shared" si="154"/>
        <v>0.015031242916347677</v>
      </c>
      <c r="N1025" s="715">
        <v>337.2</v>
      </c>
      <c r="O1025" s="723">
        <f t="shared" si="155"/>
        <v>5.068535111392436</v>
      </c>
      <c r="P1025" s="716">
        <f t="shared" si="156"/>
        <v>901.8745749808606</v>
      </c>
      <c r="Q1025" s="722">
        <f t="shared" si="157"/>
        <v>304.1121066835462</v>
      </c>
      <c r="S1025" s="88"/>
      <c r="T1025" s="88"/>
    </row>
    <row r="1026" spans="1:20" ht="12.75" customHeight="1">
      <c r="A1026" s="950"/>
      <c r="B1026" s="755">
        <v>7</v>
      </c>
      <c r="C1026" s="709" t="s">
        <v>817</v>
      </c>
      <c r="D1026" s="710">
        <v>16</v>
      </c>
      <c r="E1026" s="710" t="s">
        <v>67</v>
      </c>
      <c r="F1026" s="711">
        <v>14.8</v>
      </c>
      <c r="G1026" s="711">
        <f>22*0.051</f>
        <v>1.1219999999999999</v>
      </c>
      <c r="H1026" s="711">
        <f>16*0.16</f>
        <v>2.56</v>
      </c>
      <c r="I1026" s="711">
        <f t="shared" si="152"/>
        <v>11.118</v>
      </c>
      <c r="J1026" s="754"/>
      <c r="K1026" s="711">
        <f t="shared" si="153"/>
        <v>11.118</v>
      </c>
      <c r="L1026" s="719">
        <v>730.56</v>
      </c>
      <c r="M1026" s="721">
        <f t="shared" si="154"/>
        <v>0.015218462549277268</v>
      </c>
      <c r="N1026" s="715">
        <v>337.2</v>
      </c>
      <c r="O1026" s="723">
        <f t="shared" si="155"/>
        <v>5.131665571616295</v>
      </c>
      <c r="P1026" s="716">
        <f t="shared" si="156"/>
        <v>913.1077529566361</v>
      </c>
      <c r="Q1026" s="722">
        <f t="shared" si="157"/>
        <v>307.89993429697773</v>
      </c>
      <c r="S1026" s="88"/>
      <c r="T1026" s="88"/>
    </row>
    <row r="1027" spans="1:20" ht="12.75" customHeight="1">
      <c r="A1027" s="950"/>
      <c r="B1027" s="725">
        <v>8</v>
      </c>
      <c r="C1027" s="709" t="s">
        <v>818</v>
      </c>
      <c r="D1027" s="710">
        <v>40</v>
      </c>
      <c r="E1027" s="710" t="s">
        <v>67</v>
      </c>
      <c r="F1027" s="711">
        <v>44</v>
      </c>
      <c r="G1027" s="711">
        <f>63.98*0.051</f>
        <v>3.2629799999999998</v>
      </c>
      <c r="H1027" s="711">
        <f>40*0.16</f>
        <v>6.4</v>
      </c>
      <c r="I1027" s="711">
        <f t="shared" si="152"/>
        <v>34.33702</v>
      </c>
      <c r="J1027" s="754"/>
      <c r="K1027" s="711">
        <f t="shared" si="153"/>
        <v>34.33702</v>
      </c>
      <c r="L1027" s="719">
        <v>2231.32</v>
      </c>
      <c r="M1027" s="721">
        <f t="shared" si="154"/>
        <v>0.015388657834824229</v>
      </c>
      <c r="N1027" s="715">
        <v>337.2</v>
      </c>
      <c r="O1027" s="723">
        <f t="shared" si="155"/>
        <v>5.189055421902729</v>
      </c>
      <c r="P1027" s="716">
        <f t="shared" si="156"/>
        <v>923.3194700894537</v>
      </c>
      <c r="Q1027" s="722">
        <f t="shared" si="157"/>
        <v>311.34332531416374</v>
      </c>
      <c r="S1027" s="88"/>
      <c r="T1027" s="88"/>
    </row>
    <row r="1028" spans="1:20" ht="12.75" customHeight="1">
      <c r="A1028" s="950"/>
      <c r="B1028" s="760">
        <v>9</v>
      </c>
      <c r="C1028" s="709" t="s">
        <v>493</v>
      </c>
      <c r="D1028" s="710">
        <v>20</v>
      </c>
      <c r="E1028" s="710" t="s">
        <v>67</v>
      </c>
      <c r="F1028" s="711">
        <v>31</v>
      </c>
      <c r="G1028" s="711">
        <f>46.25*0.051</f>
        <v>2.3587499999999997</v>
      </c>
      <c r="H1028" s="711">
        <f>5.559-G1028</f>
        <v>3.2002500000000005</v>
      </c>
      <c r="I1028" s="711">
        <f t="shared" si="152"/>
        <v>25.441</v>
      </c>
      <c r="J1028" s="754"/>
      <c r="K1028" s="711">
        <f t="shared" si="153"/>
        <v>25.441</v>
      </c>
      <c r="L1028" s="719">
        <v>1634.6</v>
      </c>
      <c r="M1028" s="721">
        <f t="shared" si="154"/>
        <v>0.015564052367551694</v>
      </c>
      <c r="N1028" s="715">
        <v>337.2</v>
      </c>
      <c r="O1028" s="723">
        <f t="shared" si="155"/>
        <v>5.248198458338431</v>
      </c>
      <c r="P1028" s="716">
        <f t="shared" si="156"/>
        <v>933.8431420531016</v>
      </c>
      <c r="Q1028" s="722">
        <f t="shared" si="157"/>
        <v>314.8919075003059</v>
      </c>
      <c r="S1028" s="88"/>
      <c r="T1028" s="88"/>
    </row>
    <row r="1029" spans="1:20" ht="13.5" customHeight="1" thickBot="1">
      <c r="A1029" s="951"/>
      <c r="B1029" s="761">
        <v>10</v>
      </c>
      <c r="C1029" s="745" t="s">
        <v>489</v>
      </c>
      <c r="D1029" s="746">
        <v>25</v>
      </c>
      <c r="E1029" s="746" t="s">
        <v>67</v>
      </c>
      <c r="F1029" s="747">
        <v>27.5</v>
      </c>
      <c r="G1029" s="747">
        <f>45*0.051</f>
        <v>2.295</v>
      </c>
      <c r="H1029" s="747">
        <f>25*0.16</f>
        <v>4</v>
      </c>
      <c r="I1029" s="711">
        <f t="shared" si="152"/>
        <v>21.205</v>
      </c>
      <c r="J1029" s="762"/>
      <c r="K1029" s="711">
        <f t="shared" si="153"/>
        <v>21.205</v>
      </c>
      <c r="L1029" s="748">
        <v>1311.48</v>
      </c>
      <c r="M1029" s="749">
        <f t="shared" si="154"/>
        <v>0.016168755909354314</v>
      </c>
      <c r="N1029" s="757">
        <v>337.2</v>
      </c>
      <c r="O1029" s="750">
        <f t="shared" si="155"/>
        <v>5.452104492634274</v>
      </c>
      <c r="P1029" s="750">
        <f t="shared" si="156"/>
        <v>970.1253545612589</v>
      </c>
      <c r="Q1029" s="751">
        <f t="shared" si="157"/>
        <v>327.1262695580565</v>
      </c>
      <c r="S1029" s="88"/>
      <c r="T1029" s="88"/>
    </row>
    <row r="1030" spans="1:20" ht="13.5" customHeight="1">
      <c r="A1030" s="923" t="s">
        <v>391</v>
      </c>
      <c r="B1030" s="82">
        <v>1</v>
      </c>
      <c r="C1030" s="215" t="s">
        <v>819</v>
      </c>
      <c r="D1030" s="217">
        <v>12</v>
      </c>
      <c r="E1030" s="217" t="s">
        <v>67</v>
      </c>
      <c r="F1030" s="313">
        <v>13.5</v>
      </c>
      <c r="G1030" s="313">
        <f>16.86*0.051</f>
        <v>0.85986</v>
      </c>
      <c r="H1030" s="313">
        <f>2.78-G1030</f>
        <v>1.92014</v>
      </c>
      <c r="I1030" s="313">
        <f t="shared" si="152"/>
        <v>10.72</v>
      </c>
      <c r="J1030" s="354"/>
      <c r="K1030" s="313">
        <f t="shared" si="153"/>
        <v>10.72</v>
      </c>
      <c r="L1030" s="390">
        <v>442.92</v>
      </c>
      <c r="M1030" s="209">
        <f t="shared" si="154"/>
        <v>0.02420301634606701</v>
      </c>
      <c r="N1030" s="220">
        <v>337.2</v>
      </c>
      <c r="O1030" s="208">
        <f t="shared" si="155"/>
        <v>8.161257111893795</v>
      </c>
      <c r="P1030" s="208">
        <f t="shared" si="156"/>
        <v>1452.1809807640204</v>
      </c>
      <c r="Q1030" s="210">
        <f t="shared" si="157"/>
        <v>489.67542671362764</v>
      </c>
      <c r="S1030" s="88"/>
      <c r="T1030" s="88"/>
    </row>
    <row r="1031" spans="1:20" ht="13.5" customHeight="1">
      <c r="A1031" s="924"/>
      <c r="B1031" s="82">
        <v>2</v>
      </c>
      <c r="C1031" s="205" t="s">
        <v>494</v>
      </c>
      <c r="D1031" s="135">
        <v>24</v>
      </c>
      <c r="E1031" s="135" t="s">
        <v>67</v>
      </c>
      <c r="F1031" s="222">
        <v>32.9</v>
      </c>
      <c r="G1031" s="222">
        <f>30*0.051</f>
        <v>1.5299999999999998</v>
      </c>
      <c r="H1031" s="222">
        <f>5.37-G1031</f>
        <v>3.8400000000000003</v>
      </c>
      <c r="I1031" s="222">
        <f t="shared" si="152"/>
        <v>27.529999999999998</v>
      </c>
      <c r="J1031" s="206"/>
      <c r="K1031" s="222">
        <f t="shared" si="153"/>
        <v>27.529999999999998</v>
      </c>
      <c r="L1031" s="277">
        <v>1118.24</v>
      </c>
      <c r="M1031" s="146">
        <f t="shared" si="154"/>
        <v>0.024619044212333664</v>
      </c>
      <c r="N1031" s="220">
        <v>337.2</v>
      </c>
      <c r="O1031" s="148">
        <f t="shared" si="155"/>
        <v>8.301541708398911</v>
      </c>
      <c r="P1031" s="208">
        <f t="shared" si="156"/>
        <v>1477.1426527400197</v>
      </c>
      <c r="Q1031" s="149">
        <f t="shared" si="157"/>
        <v>498.0925025039346</v>
      </c>
      <c r="S1031" s="88"/>
      <c r="T1031" s="88"/>
    </row>
    <row r="1032" spans="1:20" ht="13.5" customHeight="1">
      <c r="A1032" s="924"/>
      <c r="B1032" s="82">
        <v>3</v>
      </c>
      <c r="C1032" s="205" t="s">
        <v>495</v>
      </c>
      <c r="D1032" s="135">
        <v>15</v>
      </c>
      <c r="E1032" s="135" t="s">
        <v>67</v>
      </c>
      <c r="F1032" s="222">
        <v>25.2</v>
      </c>
      <c r="G1032" s="222">
        <f>27.7*0.051</f>
        <v>1.4126999999999998</v>
      </c>
      <c r="H1032" s="222">
        <f>3.813-G1032</f>
        <v>2.4003000000000005</v>
      </c>
      <c r="I1032" s="222">
        <f t="shared" si="152"/>
        <v>21.386999999999997</v>
      </c>
      <c r="J1032" s="206"/>
      <c r="K1032" s="222">
        <f t="shared" si="153"/>
        <v>21.386999999999997</v>
      </c>
      <c r="L1032" s="277">
        <v>826.86</v>
      </c>
      <c r="M1032" s="146">
        <f t="shared" si="154"/>
        <v>0.025865321819896956</v>
      </c>
      <c r="N1032" s="220">
        <v>337.2</v>
      </c>
      <c r="O1032" s="148">
        <f t="shared" si="155"/>
        <v>8.721786517669253</v>
      </c>
      <c r="P1032" s="208">
        <f t="shared" si="156"/>
        <v>1551.9193091938173</v>
      </c>
      <c r="Q1032" s="149">
        <f t="shared" si="157"/>
        <v>523.3071910601552</v>
      </c>
      <c r="S1032" s="88"/>
      <c r="T1032" s="88"/>
    </row>
    <row r="1033" spans="1:20" ht="13.5" customHeight="1">
      <c r="A1033" s="924"/>
      <c r="B1033" s="82">
        <v>4</v>
      </c>
      <c r="C1033" s="205" t="s">
        <v>497</v>
      </c>
      <c r="D1033" s="135">
        <v>6</v>
      </c>
      <c r="E1033" s="135" t="s">
        <v>67</v>
      </c>
      <c r="F1033" s="222">
        <v>5.56</v>
      </c>
      <c r="G1033" s="222">
        <v>0</v>
      </c>
      <c r="H1033" s="222">
        <v>0</v>
      </c>
      <c r="I1033" s="222">
        <f>+F1033</f>
        <v>5.56</v>
      </c>
      <c r="J1033" s="206"/>
      <c r="K1033" s="222">
        <f t="shared" si="153"/>
        <v>5.56</v>
      </c>
      <c r="L1033" s="277">
        <v>212.89</v>
      </c>
      <c r="M1033" s="146">
        <f t="shared" si="154"/>
        <v>0.026116773920804172</v>
      </c>
      <c r="N1033" s="220">
        <v>337.2</v>
      </c>
      <c r="O1033" s="148">
        <f t="shared" si="155"/>
        <v>8.806576166095166</v>
      </c>
      <c r="P1033" s="208">
        <f t="shared" si="156"/>
        <v>1567.0064352482502</v>
      </c>
      <c r="Q1033" s="149">
        <f t="shared" si="157"/>
        <v>528.3945699657099</v>
      </c>
      <c r="S1033" s="88"/>
      <c r="T1033" s="88"/>
    </row>
    <row r="1034" spans="1:20" ht="13.5" customHeight="1">
      <c r="A1034" s="924"/>
      <c r="B1034" s="82">
        <v>5</v>
      </c>
      <c r="C1034" s="205" t="s">
        <v>502</v>
      </c>
      <c r="D1034" s="135">
        <v>4</v>
      </c>
      <c r="E1034" s="135" t="s">
        <v>67</v>
      </c>
      <c r="F1034" s="222">
        <v>5.44</v>
      </c>
      <c r="G1034" s="222">
        <f>4.8*0.051</f>
        <v>0.24479999999999996</v>
      </c>
      <c r="H1034" s="222">
        <f>0.334-G1034</f>
        <v>0.08920000000000006</v>
      </c>
      <c r="I1034" s="222">
        <f>+F1034-G1034-H1034</f>
        <v>5.106000000000001</v>
      </c>
      <c r="J1034" s="206"/>
      <c r="K1034" s="222">
        <f t="shared" si="153"/>
        <v>5.106000000000001</v>
      </c>
      <c r="L1034" s="277">
        <v>193.93</v>
      </c>
      <c r="M1034" s="146">
        <f t="shared" si="154"/>
        <v>0.02632908781519105</v>
      </c>
      <c r="N1034" s="220">
        <v>337.2</v>
      </c>
      <c r="O1034" s="148">
        <f t="shared" si="155"/>
        <v>8.878168411282422</v>
      </c>
      <c r="P1034" s="208">
        <f t="shared" si="156"/>
        <v>1579.745268911463</v>
      </c>
      <c r="Q1034" s="149">
        <f t="shared" si="157"/>
        <v>532.6901046769452</v>
      </c>
      <c r="S1034" s="88"/>
      <c r="T1034" s="88"/>
    </row>
    <row r="1035" spans="1:20" ht="13.5" customHeight="1">
      <c r="A1035" s="924"/>
      <c r="B1035" s="34">
        <v>6</v>
      </c>
      <c r="C1035" s="205" t="s">
        <v>496</v>
      </c>
      <c r="D1035" s="135">
        <v>8</v>
      </c>
      <c r="E1035" s="135" t="s">
        <v>67</v>
      </c>
      <c r="F1035" s="222">
        <v>14.1</v>
      </c>
      <c r="G1035" s="222">
        <f>8*0.051</f>
        <v>0.408</v>
      </c>
      <c r="H1035" s="222">
        <f>8*0.01</f>
        <v>0.08</v>
      </c>
      <c r="I1035" s="222">
        <f>+F1035-G1035-H1035</f>
        <v>13.612</v>
      </c>
      <c r="J1035" s="206"/>
      <c r="K1035" s="222">
        <f t="shared" si="153"/>
        <v>13.612</v>
      </c>
      <c r="L1035" s="277">
        <v>509.62</v>
      </c>
      <c r="M1035" s="146">
        <f t="shared" si="154"/>
        <v>0.026710097719869708</v>
      </c>
      <c r="N1035" s="220">
        <v>337.2</v>
      </c>
      <c r="O1035" s="148">
        <f t="shared" si="155"/>
        <v>9.006644951140066</v>
      </c>
      <c r="P1035" s="208">
        <f t="shared" si="156"/>
        <v>1602.6058631921824</v>
      </c>
      <c r="Q1035" s="149">
        <f t="shared" si="157"/>
        <v>540.3986970684039</v>
      </c>
      <c r="S1035" s="88"/>
      <c r="T1035" s="88"/>
    </row>
    <row r="1036" spans="1:20" ht="13.5" customHeight="1">
      <c r="A1036" s="924"/>
      <c r="B1036" s="34">
        <v>7</v>
      </c>
      <c r="C1036" s="205" t="s">
        <v>500</v>
      </c>
      <c r="D1036" s="135">
        <v>14</v>
      </c>
      <c r="E1036" s="135" t="s">
        <v>67</v>
      </c>
      <c r="F1036" s="222">
        <v>18.3</v>
      </c>
      <c r="G1036" s="222">
        <f>11*0.051</f>
        <v>0.5609999999999999</v>
      </c>
      <c r="H1036" s="222">
        <f>0.7-G1036</f>
        <v>0.139</v>
      </c>
      <c r="I1036" s="222">
        <f>+F1036-G1036-H1036</f>
        <v>17.6</v>
      </c>
      <c r="J1036" s="206"/>
      <c r="K1036" s="222">
        <f t="shared" si="153"/>
        <v>17.6</v>
      </c>
      <c r="L1036" s="277">
        <v>635.91</v>
      </c>
      <c r="M1036" s="146">
        <f t="shared" si="154"/>
        <v>0.02767687251340599</v>
      </c>
      <c r="N1036" s="220">
        <v>337.2</v>
      </c>
      <c r="O1036" s="148">
        <f t="shared" si="155"/>
        <v>9.3326414115205</v>
      </c>
      <c r="P1036" s="208">
        <f t="shared" si="156"/>
        <v>1660.6123508043593</v>
      </c>
      <c r="Q1036" s="149">
        <f t="shared" si="157"/>
        <v>559.9584846912298</v>
      </c>
      <c r="S1036" s="88"/>
      <c r="T1036" s="88"/>
    </row>
    <row r="1037" spans="1:20" ht="13.5" customHeight="1">
      <c r="A1037" s="924"/>
      <c r="B1037" s="34">
        <v>8</v>
      </c>
      <c r="C1037" s="205" t="s">
        <v>506</v>
      </c>
      <c r="D1037" s="135">
        <v>5</v>
      </c>
      <c r="E1037" s="135" t="s">
        <v>67</v>
      </c>
      <c r="F1037" s="222">
        <v>9.6</v>
      </c>
      <c r="G1037" s="222">
        <f>1.85*0.051</f>
        <v>0.09435</v>
      </c>
      <c r="H1037" s="222">
        <f>5*0.16</f>
        <v>0.8</v>
      </c>
      <c r="I1037" s="222">
        <v>6.213</v>
      </c>
      <c r="J1037" s="206"/>
      <c r="K1037" s="222">
        <f t="shared" si="153"/>
        <v>6.213</v>
      </c>
      <c r="L1037" s="277">
        <v>220.11</v>
      </c>
      <c r="M1037" s="146">
        <f t="shared" si="154"/>
        <v>0.028226795693062558</v>
      </c>
      <c r="N1037" s="220">
        <v>337.2</v>
      </c>
      <c r="O1037" s="148">
        <f t="shared" si="155"/>
        <v>9.518075507700694</v>
      </c>
      <c r="P1037" s="208">
        <f t="shared" si="156"/>
        <v>1693.6077415837533</v>
      </c>
      <c r="Q1037" s="149">
        <f t="shared" si="157"/>
        <v>571.0845304620416</v>
      </c>
      <c r="S1037" s="88"/>
      <c r="T1037" s="88"/>
    </row>
    <row r="1038" spans="1:20" ht="13.5" customHeight="1">
      <c r="A1038" s="924"/>
      <c r="B1038" s="34">
        <v>9</v>
      </c>
      <c r="C1038" s="205" t="s">
        <v>498</v>
      </c>
      <c r="D1038" s="135">
        <v>4</v>
      </c>
      <c r="E1038" s="135" t="s">
        <v>67</v>
      </c>
      <c r="F1038" s="222">
        <v>7.2</v>
      </c>
      <c r="G1038" s="222">
        <v>0</v>
      </c>
      <c r="H1038" s="222">
        <v>0</v>
      </c>
      <c r="I1038" s="222">
        <f>+F1038</f>
        <v>7.2</v>
      </c>
      <c r="J1038" s="206"/>
      <c r="K1038" s="222">
        <f t="shared" si="153"/>
        <v>7.2</v>
      </c>
      <c r="L1038" s="277">
        <v>253.29</v>
      </c>
      <c r="M1038" s="146">
        <f t="shared" si="154"/>
        <v>0.02842591495913775</v>
      </c>
      <c r="N1038" s="220">
        <v>337.2</v>
      </c>
      <c r="O1038" s="148">
        <f t="shared" si="155"/>
        <v>9.585218524221249</v>
      </c>
      <c r="P1038" s="208">
        <f t="shared" si="156"/>
        <v>1705.5548975482648</v>
      </c>
      <c r="Q1038" s="149">
        <f t="shared" si="157"/>
        <v>575.1131114532749</v>
      </c>
      <c r="S1038" s="88"/>
      <c r="T1038" s="88"/>
    </row>
    <row r="1039" spans="1:20" ht="13.5" customHeight="1" thickBot="1">
      <c r="A1039" s="925"/>
      <c r="B1039" s="36">
        <v>10</v>
      </c>
      <c r="C1039" s="216" t="s">
        <v>499</v>
      </c>
      <c r="D1039" s="136">
        <v>6</v>
      </c>
      <c r="E1039" s="136" t="s">
        <v>67</v>
      </c>
      <c r="F1039" s="312">
        <v>6.88</v>
      </c>
      <c r="G1039" s="312">
        <v>0</v>
      </c>
      <c r="H1039" s="312">
        <v>0</v>
      </c>
      <c r="I1039" s="312">
        <f>+F1039</f>
        <v>6.88</v>
      </c>
      <c r="J1039" s="358"/>
      <c r="K1039" s="312">
        <f t="shared" si="153"/>
        <v>6.88</v>
      </c>
      <c r="L1039" s="278">
        <v>234.73</v>
      </c>
      <c r="M1039" s="211">
        <f t="shared" si="154"/>
        <v>0.029310271375623056</v>
      </c>
      <c r="N1039" s="584">
        <v>337.2</v>
      </c>
      <c r="O1039" s="212">
        <f t="shared" si="155"/>
        <v>9.883423507860094</v>
      </c>
      <c r="P1039" s="212">
        <f t="shared" si="156"/>
        <v>1758.6162825373835</v>
      </c>
      <c r="Q1039" s="213">
        <f t="shared" si="157"/>
        <v>593.0054104716057</v>
      </c>
      <c r="S1039" s="88"/>
      <c r="T1039" s="88"/>
    </row>
    <row r="1040" spans="1:20" ht="13.5" customHeight="1">
      <c r="A1040" s="1088" t="s">
        <v>12</v>
      </c>
      <c r="B1040" s="79">
        <v>1</v>
      </c>
      <c r="C1040" s="166" t="s">
        <v>501</v>
      </c>
      <c r="D1040" s="167">
        <v>8</v>
      </c>
      <c r="E1040" s="167" t="s">
        <v>67</v>
      </c>
      <c r="F1040" s="250">
        <v>11.76</v>
      </c>
      <c r="G1040" s="250">
        <v>0</v>
      </c>
      <c r="H1040" s="250">
        <v>0</v>
      </c>
      <c r="I1040" s="250">
        <f aca="true" t="shared" si="158" ref="I1040:I1048">+F1040-G1040-H1040</f>
        <v>11.76</v>
      </c>
      <c r="J1040" s="557"/>
      <c r="K1040" s="250">
        <f t="shared" si="153"/>
        <v>11.76</v>
      </c>
      <c r="L1040" s="391">
        <v>397.76</v>
      </c>
      <c r="M1040" s="170">
        <f t="shared" si="154"/>
        <v>0.029565567176186646</v>
      </c>
      <c r="N1040" s="256">
        <v>337.2</v>
      </c>
      <c r="O1040" s="171">
        <f t="shared" si="155"/>
        <v>9.969509251810138</v>
      </c>
      <c r="P1040" s="171">
        <f t="shared" si="156"/>
        <v>1773.9340305711987</v>
      </c>
      <c r="Q1040" s="172">
        <f t="shared" si="157"/>
        <v>598.1705551086083</v>
      </c>
      <c r="S1040" s="88"/>
      <c r="T1040" s="88"/>
    </row>
    <row r="1041" spans="1:20" ht="13.5" customHeight="1">
      <c r="A1041" s="1089"/>
      <c r="B1041" s="41">
        <v>2</v>
      </c>
      <c r="C1041" s="169" t="s">
        <v>820</v>
      </c>
      <c r="D1041" s="137">
        <v>25</v>
      </c>
      <c r="E1041" s="137" t="s">
        <v>67</v>
      </c>
      <c r="F1041" s="218">
        <v>39.3</v>
      </c>
      <c r="G1041" s="218">
        <f>28.75*0.051</f>
        <v>1.4662499999999998</v>
      </c>
      <c r="H1041" s="218">
        <f>5.106-G1041</f>
        <v>3.6397500000000003</v>
      </c>
      <c r="I1041" s="218">
        <f t="shared" si="158"/>
        <v>34.193999999999996</v>
      </c>
      <c r="J1041" s="207"/>
      <c r="K1041" s="218">
        <f t="shared" si="153"/>
        <v>34.193999999999996</v>
      </c>
      <c r="L1041" s="275">
        <v>1133.69</v>
      </c>
      <c r="M1041" s="150">
        <f t="shared" si="154"/>
        <v>0.030161684411082388</v>
      </c>
      <c r="N1041" s="168">
        <v>337.2</v>
      </c>
      <c r="O1041" s="152">
        <f t="shared" si="155"/>
        <v>10.17051998341698</v>
      </c>
      <c r="P1041" s="171">
        <f t="shared" si="156"/>
        <v>1809.7010646649433</v>
      </c>
      <c r="Q1041" s="153">
        <f t="shared" si="157"/>
        <v>610.2311990050188</v>
      </c>
      <c r="S1041" s="88"/>
      <c r="T1041" s="88"/>
    </row>
    <row r="1042" spans="1:20" ht="13.5" customHeight="1">
      <c r="A1042" s="1089"/>
      <c r="B1042" s="41">
        <v>3</v>
      </c>
      <c r="C1042" s="169" t="s">
        <v>508</v>
      </c>
      <c r="D1042" s="137">
        <v>4</v>
      </c>
      <c r="E1042" s="137" t="s">
        <v>67</v>
      </c>
      <c r="F1042" s="218">
        <v>5.57</v>
      </c>
      <c r="G1042" s="218">
        <f>5.98*0.051</f>
        <v>0.30498000000000003</v>
      </c>
      <c r="H1042" s="218">
        <f>4*0.16</f>
        <v>0.64</v>
      </c>
      <c r="I1042" s="218">
        <f t="shared" si="158"/>
        <v>4.62502</v>
      </c>
      <c r="J1042" s="207"/>
      <c r="K1042" s="218">
        <f t="shared" si="153"/>
        <v>4.62502</v>
      </c>
      <c r="L1042" s="275">
        <v>151.85</v>
      </c>
      <c r="M1042" s="150">
        <f t="shared" si="154"/>
        <v>0.030457820217319725</v>
      </c>
      <c r="N1042" s="168">
        <v>337.2</v>
      </c>
      <c r="O1042" s="152">
        <f t="shared" si="155"/>
        <v>10.270376977280211</v>
      </c>
      <c r="P1042" s="171">
        <f t="shared" si="156"/>
        <v>1827.4692130391834</v>
      </c>
      <c r="Q1042" s="153">
        <f t="shared" si="157"/>
        <v>616.2226186368126</v>
      </c>
      <c r="S1042" s="88"/>
      <c r="T1042" s="88"/>
    </row>
    <row r="1043" spans="1:20" ht="13.5" customHeight="1">
      <c r="A1043" s="1089"/>
      <c r="B1043" s="41">
        <v>4</v>
      </c>
      <c r="C1043" s="257" t="s">
        <v>505</v>
      </c>
      <c r="D1043" s="137">
        <v>2</v>
      </c>
      <c r="E1043" s="137" t="s">
        <v>67</v>
      </c>
      <c r="F1043" s="218">
        <v>3.56</v>
      </c>
      <c r="G1043" s="218">
        <f>4*0.051</f>
        <v>0.204</v>
      </c>
      <c r="H1043" s="218">
        <f>2*0.01</f>
        <v>0.02</v>
      </c>
      <c r="I1043" s="218">
        <f t="shared" si="158"/>
        <v>3.336</v>
      </c>
      <c r="J1043" s="137"/>
      <c r="K1043" s="218">
        <f t="shared" si="153"/>
        <v>3.336</v>
      </c>
      <c r="L1043" s="275">
        <v>107.98</v>
      </c>
      <c r="M1043" s="150">
        <f t="shared" si="154"/>
        <v>0.030894610112983882</v>
      </c>
      <c r="N1043" s="168">
        <v>337.2</v>
      </c>
      <c r="O1043" s="152">
        <f t="shared" si="155"/>
        <v>10.417662530098164</v>
      </c>
      <c r="P1043" s="171">
        <f t="shared" si="156"/>
        <v>1853.676606779033</v>
      </c>
      <c r="Q1043" s="153">
        <f t="shared" si="157"/>
        <v>625.0597518058898</v>
      </c>
      <c r="S1043" s="88"/>
      <c r="T1043" s="88"/>
    </row>
    <row r="1044" spans="1:20" ht="13.5" customHeight="1">
      <c r="A1044" s="1089"/>
      <c r="B1044" s="41">
        <v>5</v>
      </c>
      <c r="C1044" s="169" t="s">
        <v>504</v>
      </c>
      <c r="D1044" s="137">
        <v>3</v>
      </c>
      <c r="E1044" s="137" t="s">
        <v>67</v>
      </c>
      <c r="F1044" s="218">
        <v>5</v>
      </c>
      <c r="G1044" s="218">
        <f>4*0.051</f>
        <v>0.204</v>
      </c>
      <c r="H1044" s="218">
        <f>3*0.16</f>
        <v>0.48</v>
      </c>
      <c r="I1044" s="218">
        <f t="shared" si="158"/>
        <v>4.316000000000001</v>
      </c>
      <c r="J1044" s="207"/>
      <c r="K1044" s="218">
        <f t="shared" si="153"/>
        <v>4.316000000000001</v>
      </c>
      <c r="L1044" s="275">
        <v>139.3</v>
      </c>
      <c r="M1044" s="150">
        <f t="shared" si="154"/>
        <v>0.030983488872936112</v>
      </c>
      <c r="N1044" s="168">
        <v>337.2</v>
      </c>
      <c r="O1044" s="152">
        <f t="shared" si="155"/>
        <v>10.447632447954057</v>
      </c>
      <c r="P1044" s="171">
        <f t="shared" si="156"/>
        <v>1859.0093323761666</v>
      </c>
      <c r="Q1044" s="153">
        <f t="shared" si="157"/>
        <v>626.8579468772433</v>
      </c>
      <c r="S1044" s="88"/>
      <c r="T1044" s="88"/>
    </row>
    <row r="1045" spans="1:20" ht="13.5" customHeight="1">
      <c r="A1045" s="1089"/>
      <c r="B1045" s="41">
        <v>6</v>
      </c>
      <c r="C1045" s="169" t="s">
        <v>821</v>
      </c>
      <c r="D1045" s="137">
        <v>7</v>
      </c>
      <c r="E1045" s="137" t="s">
        <v>67</v>
      </c>
      <c r="F1045" s="218">
        <v>11.9</v>
      </c>
      <c r="G1045" s="218">
        <v>0</v>
      </c>
      <c r="H1045" s="218">
        <v>0</v>
      </c>
      <c r="I1045" s="218">
        <f t="shared" si="158"/>
        <v>11.9</v>
      </c>
      <c r="J1045" s="207"/>
      <c r="K1045" s="218">
        <f t="shared" si="153"/>
        <v>11.9</v>
      </c>
      <c r="L1045" s="275">
        <v>366.13</v>
      </c>
      <c r="M1045" s="150">
        <f t="shared" si="154"/>
        <v>0.032502116734493214</v>
      </c>
      <c r="N1045" s="168">
        <v>337.2</v>
      </c>
      <c r="O1045" s="152">
        <f t="shared" si="155"/>
        <v>10.959713762871111</v>
      </c>
      <c r="P1045" s="171">
        <f t="shared" si="156"/>
        <v>1950.1270040695929</v>
      </c>
      <c r="Q1045" s="153">
        <f t="shared" si="157"/>
        <v>657.5828257722667</v>
      </c>
      <c r="S1045" s="88"/>
      <c r="T1045" s="88"/>
    </row>
    <row r="1046" spans="1:20" ht="13.5" customHeight="1">
      <c r="A1046" s="1089"/>
      <c r="B1046" s="41">
        <v>7</v>
      </c>
      <c r="C1046" s="169" t="s">
        <v>822</v>
      </c>
      <c r="D1046" s="137">
        <v>4</v>
      </c>
      <c r="E1046" s="137" t="s">
        <v>67</v>
      </c>
      <c r="F1046" s="218">
        <v>8.6</v>
      </c>
      <c r="G1046" s="218">
        <f>5*0.051</f>
        <v>0.255</v>
      </c>
      <c r="H1046" s="218">
        <f>4*0.16</f>
        <v>0.64</v>
      </c>
      <c r="I1046" s="218">
        <f t="shared" si="158"/>
        <v>7.704999999999999</v>
      </c>
      <c r="J1046" s="207"/>
      <c r="K1046" s="218">
        <f t="shared" si="153"/>
        <v>7.704999999999999</v>
      </c>
      <c r="L1046" s="275">
        <v>228.62</v>
      </c>
      <c r="M1046" s="150">
        <f t="shared" si="154"/>
        <v>0.03370221327967807</v>
      </c>
      <c r="N1046" s="168">
        <v>337.2</v>
      </c>
      <c r="O1046" s="152">
        <f t="shared" si="155"/>
        <v>11.364386317907444</v>
      </c>
      <c r="P1046" s="171">
        <f t="shared" si="156"/>
        <v>2022.1327967806842</v>
      </c>
      <c r="Q1046" s="153">
        <f t="shared" si="157"/>
        <v>681.8631790744466</v>
      </c>
      <c r="S1046" s="88"/>
      <c r="T1046" s="88"/>
    </row>
    <row r="1047" spans="1:20" ht="12.75">
      <c r="A1047" s="1089"/>
      <c r="B1047" s="89">
        <v>8</v>
      </c>
      <c r="C1047" s="169" t="s">
        <v>503</v>
      </c>
      <c r="D1047" s="137">
        <v>8</v>
      </c>
      <c r="E1047" s="137" t="s">
        <v>67</v>
      </c>
      <c r="F1047" s="218">
        <v>14.27</v>
      </c>
      <c r="G1047" s="218">
        <f>7*0.051</f>
        <v>0.357</v>
      </c>
      <c r="H1047" s="218">
        <f>1.557-G1047</f>
        <v>1.2</v>
      </c>
      <c r="I1047" s="218">
        <f t="shared" si="158"/>
        <v>12.713000000000001</v>
      </c>
      <c r="J1047" s="207"/>
      <c r="K1047" s="218">
        <f t="shared" si="153"/>
        <v>12.713000000000001</v>
      </c>
      <c r="L1047" s="275">
        <v>365.77</v>
      </c>
      <c r="M1047" s="150">
        <f t="shared" si="154"/>
        <v>0.03475681439155754</v>
      </c>
      <c r="N1047" s="168">
        <v>337.2</v>
      </c>
      <c r="O1047" s="152">
        <f t="shared" si="155"/>
        <v>11.719997812833203</v>
      </c>
      <c r="P1047" s="171">
        <f t="shared" si="156"/>
        <v>2085.4088634934524</v>
      </c>
      <c r="Q1047" s="153">
        <f t="shared" si="157"/>
        <v>703.1998687699921</v>
      </c>
      <c r="S1047" s="88"/>
      <c r="T1047" s="88"/>
    </row>
    <row r="1048" spans="1:20" ht="13.5" thickBot="1">
      <c r="A1048" s="1090"/>
      <c r="B1048" s="45">
        <v>9</v>
      </c>
      <c r="C1048" s="214" t="s">
        <v>507</v>
      </c>
      <c r="D1048" s="138">
        <v>16</v>
      </c>
      <c r="E1048" s="138" t="s">
        <v>67</v>
      </c>
      <c r="F1048" s="251">
        <v>19.1</v>
      </c>
      <c r="G1048" s="251">
        <f>17*0.051</f>
        <v>0.867</v>
      </c>
      <c r="H1048" s="251">
        <f>16*0.01</f>
        <v>0.16</v>
      </c>
      <c r="I1048" s="251">
        <f t="shared" si="158"/>
        <v>18.073</v>
      </c>
      <c r="J1048" s="588"/>
      <c r="K1048" s="251">
        <f t="shared" si="153"/>
        <v>18.073</v>
      </c>
      <c r="L1048" s="365">
        <v>507.62</v>
      </c>
      <c r="M1048" s="154">
        <f t="shared" si="154"/>
        <v>0.03560340412119302</v>
      </c>
      <c r="N1048" s="155">
        <v>337.2</v>
      </c>
      <c r="O1048" s="156">
        <f t="shared" si="155"/>
        <v>12.005467869666285</v>
      </c>
      <c r="P1048" s="156">
        <f t="shared" si="156"/>
        <v>2136.204247271581</v>
      </c>
      <c r="Q1048" s="157">
        <f t="shared" si="157"/>
        <v>720.3280721799771</v>
      </c>
      <c r="S1048" s="88"/>
      <c r="T1048" s="88"/>
    </row>
    <row r="1049" spans="1:20" ht="12.75">
      <c r="A1049" s="283"/>
      <c r="B1049" s="687"/>
      <c r="S1049" s="88"/>
      <c r="T1049" s="88"/>
    </row>
    <row r="1050" spans="1:20" ht="12.75">
      <c r="A1050" s="284"/>
      <c r="S1050" s="88"/>
      <c r="T1050" s="88"/>
    </row>
    <row r="1051" spans="19:20" ht="12.75">
      <c r="S1051" s="88"/>
      <c r="T1051" s="88"/>
    </row>
    <row r="1052" spans="1:20" ht="15">
      <c r="A1052" s="967" t="s">
        <v>130</v>
      </c>
      <c r="B1052" s="967"/>
      <c r="C1052" s="967"/>
      <c r="D1052" s="967"/>
      <c r="E1052" s="967"/>
      <c r="F1052" s="967"/>
      <c r="G1052" s="967"/>
      <c r="H1052" s="967"/>
      <c r="I1052" s="967"/>
      <c r="J1052" s="967"/>
      <c r="K1052" s="967"/>
      <c r="L1052" s="967"/>
      <c r="M1052" s="967"/>
      <c r="N1052" s="967"/>
      <c r="O1052" s="967"/>
      <c r="P1052" s="967"/>
      <c r="Q1052" s="967"/>
      <c r="S1052" s="88"/>
      <c r="T1052" s="88"/>
    </row>
    <row r="1053" spans="1:20" ht="13.5" thickBot="1">
      <c r="A1053" s="968" t="s">
        <v>847</v>
      </c>
      <c r="B1053" s="968"/>
      <c r="C1053" s="968"/>
      <c r="D1053" s="968"/>
      <c r="E1053" s="968"/>
      <c r="F1053" s="968"/>
      <c r="G1053" s="968"/>
      <c r="H1053" s="968"/>
      <c r="I1053" s="968"/>
      <c r="J1053" s="968"/>
      <c r="K1053" s="968"/>
      <c r="L1053" s="968"/>
      <c r="M1053" s="968"/>
      <c r="N1053" s="968"/>
      <c r="O1053" s="968"/>
      <c r="P1053" s="968"/>
      <c r="Q1053" s="968"/>
      <c r="S1053" s="88"/>
      <c r="T1053" s="88"/>
    </row>
    <row r="1054" spans="1:20" ht="12.75" customHeight="1">
      <c r="A1054" s="952" t="s">
        <v>1</v>
      </c>
      <c r="B1054" s="955" t="s">
        <v>0</v>
      </c>
      <c r="C1054" s="944" t="s">
        <v>2</v>
      </c>
      <c r="D1054" s="944" t="s">
        <v>3</v>
      </c>
      <c r="E1054" s="944" t="s">
        <v>13</v>
      </c>
      <c r="F1054" s="960" t="s">
        <v>14</v>
      </c>
      <c r="G1054" s="961"/>
      <c r="H1054" s="961"/>
      <c r="I1054" s="962"/>
      <c r="J1054" s="944" t="s">
        <v>4</v>
      </c>
      <c r="K1054" s="944" t="s">
        <v>15</v>
      </c>
      <c r="L1054" s="944" t="s">
        <v>5</v>
      </c>
      <c r="M1054" s="944" t="s">
        <v>6</v>
      </c>
      <c r="N1054" s="944" t="s">
        <v>16</v>
      </c>
      <c r="O1054" s="969" t="s">
        <v>17</v>
      </c>
      <c r="P1054" s="944" t="s">
        <v>25</v>
      </c>
      <c r="Q1054" s="929" t="s">
        <v>26</v>
      </c>
      <c r="S1054" s="88"/>
      <c r="T1054" s="88"/>
    </row>
    <row r="1055" spans="1:20" s="2" customFormat="1" ht="33.75">
      <c r="A1055" s="953"/>
      <c r="B1055" s="956"/>
      <c r="C1055" s="958"/>
      <c r="D1055" s="945"/>
      <c r="E1055" s="945"/>
      <c r="F1055" s="37" t="s">
        <v>18</v>
      </c>
      <c r="G1055" s="37" t="s">
        <v>19</v>
      </c>
      <c r="H1055" s="37" t="s">
        <v>20</v>
      </c>
      <c r="I1055" s="37" t="s">
        <v>21</v>
      </c>
      <c r="J1055" s="945"/>
      <c r="K1055" s="945"/>
      <c r="L1055" s="945"/>
      <c r="M1055" s="945"/>
      <c r="N1055" s="945"/>
      <c r="O1055" s="970"/>
      <c r="P1055" s="945"/>
      <c r="Q1055" s="930"/>
      <c r="S1055" s="88"/>
      <c r="T1055" s="88"/>
    </row>
    <row r="1056" spans="1:20" s="3" customFormat="1" ht="13.5" customHeight="1" thickBot="1">
      <c r="A1056" s="954"/>
      <c r="B1056" s="957"/>
      <c r="C1056" s="959"/>
      <c r="D1056" s="58" t="s">
        <v>7</v>
      </c>
      <c r="E1056" s="58" t="s">
        <v>8</v>
      </c>
      <c r="F1056" s="58" t="s">
        <v>9</v>
      </c>
      <c r="G1056" s="58" t="s">
        <v>9</v>
      </c>
      <c r="H1056" s="58" t="s">
        <v>9</v>
      </c>
      <c r="I1056" s="58" t="s">
        <v>9</v>
      </c>
      <c r="J1056" s="10" t="s">
        <v>22</v>
      </c>
      <c r="K1056" s="58" t="s">
        <v>9</v>
      </c>
      <c r="L1056" s="58" t="s">
        <v>22</v>
      </c>
      <c r="M1056" s="58" t="s">
        <v>134</v>
      </c>
      <c r="N1056" s="58" t="s">
        <v>10</v>
      </c>
      <c r="O1056" s="58" t="s">
        <v>149</v>
      </c>
      <c r="P1056" s="59" t="s">
        <v>27</v>
      </c>
      <c r="Q1056" s="60" t="s">
        <v>28</v>
      </c>
      <c r="S1056" s="88"/>
      <c r="T1056" s="88"/>
    </row>
    <row r="1057" spans="1:20" ht="11.25" customHeight="1">
      <c r="A1057" s="949" t="s">
        <v>29</v>
      </c>
      <c r="B1057" s="752">
        <v>1</v>
      </c>
      <c r="C1057" s="709" t="s">
        <v>392</v>
      </c>
      <c r="D1057" s="710">
        <v>12</v>
      </c>
      <c r="E1057" s="710">
        <v>1986</v>
      </c>
      <c r="F1057" s="712">
        <v>9.9</v>
      </c>
      <c r="G1057" s="712">
        <v>0.679</v>
      </c>
      <c r="H1057" s="712">
        <v>1.28</v>
      </c>
      <c r="I1057" s="711">
        <v>7.94</v>
      </c>
      <c r="J1057" s="753" t="s">
        <v>823</v>
      </c>
      <c r="K1057" s="712">
        <v>7.94</v>
      </c>
      <c r="L1057" s="713">
        <v>682.92</v>
      </c>
      <c r="M1057" s="714">
        <f>K1057/L1057</f>
        <v>0.011626544836876942</v>
      </c>
      <c r="N1057" s="715">
        <v>323.29</v>
      </c>
      <c r="O1057" s="716">
        <f aca="true" t="shared" si="159" ref="O1057:O1066">M1057*N1057</f>
        <v>3.7587456803139467</v>
      </c>
      <c r="P1057" s="716">
        <f aca="true" t="shared" si="160" ref="P1057:P1066">M1057*60*1000</f>
        <v>697.5926902126165</v>
      </c>
      <c r="Q1057" s="717">
        <f aca="true" t="shared" si="161" ref="Q1057:Q1066">P1057*N1057/1000</f>
        <v>225.52474081883682</v>
      </c>
      <c r="S1057" s="88"/>
      <c r="T1057" s="88"/>
    </row>
    <row r="1058" spans="1:20" ht="12.75" customHeight="1">
      <c r="A1058" s="950"/>
      <c r="B1058" s="725">
        <v>2</v>
      </c>
      <c r="C1058" s="709" t="s">
        <v>824</v>
      </c>
      <c r="D1058" s="710">
        <v>50</v>
      </c>
      <c r="E1058" s="710" t="s">
        <v>67</v>
      </c>
      <c r="F1058" s="711">
        <v>35.845</v>
      </c>
      <c r="G1058" s="711">
        <v>3.738</v>
      </c>
      <c r="H1058" s="711">
        <v>0.43</v>
      </c>
      <c r="I1058" s="711">
        <v>29.558</v>
      </c>
      <c r="J1058" s="754" t="s">
        <v>823</v>
      </c>
      <c r="K1058" s="711">
        <v>29.559</v>
      </c>
      <c r="L1058" s="719">
        <v>1820.72</v>
      </c>
      <c r="M1058" s="714">
        <f>K1058/L1058</f>
        <v>0.016234786238411177</v>
      </c>
      <c r="N1058" s="720">
        <v>323.29</v>
      </c>
      <c r="O1058" s="716">
        <f t="shared" si="159"/>
        <v>5.24854404301595</v>
      </c>
      <c r="P1058" s="716">
        <f t="shared" si="160"/>
        <v>974.0871743046706</v>
      </c>
      <c r="Q1058" s="717">
        <f t="shared" si="161"/>
        <v>314.91264258095697</v>
      </c>
      <c r="S1058" s="88"/>
      <c r="T1058" s="88"/>
    </row>
    <row r="1059" spans="1:20" ht="12.75" customHeight="1">
      <c r="A1059" s="950"/>
      <c r="B1059" s="725">
        <v>3</v>
      </c>
      <c r="C1059" s="709" t="s">
        <v>825</v>
      </c>
      <c r="D1059" s="710">
        <v>12</v>
      </c>
      <c r="E1059" s="710">
        <v>1963</v>
      </c>
      <c r="F1059" s="711">
        <v>14.467</v>
      </c>
      <c r="G1059" s="711">
        <v>4.531</v>
      </c>
      <c r="H1059" s="711">
        <v>1.92</v>
      </c>
      <c r="I1059" s="711">
        <v>8.01</v>
      </c>
      <c r="J1059" s="754" t="s">
        <v>823</v>
      </c>
      <c r="K1059" s="711">
        <v>8.01</v>
      </c>
      <c r="L1059" s="719">
        <v>495.63</v>
      </c>
      <c r="M1059" s="721">
        <f aca="true" t="shared" si="162" ref="M1059:M1066">K1059/L1059</f>
        <v>0.016161249319048485</v>
      </c>
      <c r="N1059" s="720">
        <v>323.29</v>
      </c>
      <c r="O1059" s="716">
        <f t="shared" si="159"/>
        <v>5.224770292355185</v>
      </c>
      <c r="P1059" s="716">
        <f t="shared" si="160"/>
        <v>969.6749591429091</v>
      </c>
      <c r="Q1059" s="722">
        <f t="shared" si="161"/>
        <v>313.48621754131113</v>
      </c>
      <c r="S1059" s="88"/>
      <c r="T1059" s="88"/>
    </row>
    <row r="1060" spans="1:20" ht="12.75" customHeight="1">
      <c r="A1060" s="950"/>
      <c r="B1060" s="725">
        <v>4</v>
      </c>
      <c r="C1060" s="709" t="s">
        <v>826</v>
      </c>
      <c r="D1060" s="710">
        <v>45</v>
      </c>
      <c r="E1060" s="710">
        <v>1984</v>
      </c>
      <c r="F1060" s="711">
        <v>52</v>
      </c>
      <c r="G1060" s="711">
        <v>5.437</v>
      </c>
      <c r="H1060" s="711">
        <v>7.12</v>
      </c>
      <c r="I1060" s="711">
        <v>39.443</v>
      </c>
      <c r="J1060" s="754" t="s">
        <v>823</v>
      </c>
      <c r="K1060" s="711">
        <v>39.444</v>
      </c>
      <c r="L1060" s="719">
        <v>2323</v>
      </c>
      <c r="M1060" s="721">
        <f t="shared" si="162"/>
        <v>0.01697976754197159</v>
      </c>
      <c r="N1060" s="720">
        <v>323.29</v>
      </c>
      <c r="O1060" s="723">
        <f t="shared" si="159"/>
        <v>5.489389048643996</v>
      </c>
      <c r="P1060" s="716">
        <f t="shared" si="160"/>
        <v>1018.7860525182953</v>
      </c>
      <c r="Q1060" s="722">
        <f t="shared" si="161"/>
        <v>329.3633429186397</v>
      </c>
      <c r="S1060" s="88"/>
      <c r="T1060" s="88"/>
    </row>
    <row r="1061" spans="1:20" ht="12.75" customHeight="1">
      <c r="A1061" s="950"/>
      <c r="B1061" s="725">
        <v>5</v>
      </c>
      <c r="C1061" s="709" t="s">
        <v>827</v>
      </c>
      <c r="D1061" s="710">
        <v>40</v>
      </c>
      <c r="E1061" s="710">
        <v>1992</v>
      </c>
      <c r="F1061" s="711">
        <v>51.7</v>
      </c>
      <c r="G1061" s="711">
        <v>3.398</v>
      </c>
      <c r="H1061" s="711">
        <v>6.4</v>
      </c>
      <c r="I1061" s="711">
        <v>41.901</v>
      </c>
      <c r="J1061" s="754" t="s">
        <v>823</v>
      </c>
      <c r="K1061" s="711">
        <v>41.9</v>
      </c>
      <c r="L1061" s="719">
        <v>2264.86</v>
      </c>
      <c r="M1061" s="721">
        <f t="shared" si="162"/>
        <v>0.01850003973755552</v>
      </c>
      <c r="N1061" s="720">
        <v>323.29</v>
      </c>
      <c r="O1061" s="723">
        <f t="shared" si="159"/>
        <v>5.980877846754324</v>
      </c>
      <c r="P1061" s="716">
        <f t="shared" si="160"/>
        <v>1110.002384253331</v>
      </c>
      <c r="Q1061" s="722">
        <f t="shared" si="161"/>
        <v>358.8526708052594</v>
      </c>
      <c r="S1061" s="88"/>
      <c r="T1061" s="88"/>
    </row>
    <row r="1062" spans="1:20" s="92" customFormat="1" ht="12.75" customHeight="1">
      <c r="A1062" s="950"/>
      <c r="B1062" s="755">
        <v>6</v>
      </c>
      <c r="C1062" s="709" t="s">
        <v>828</v>
      </c>
      <c r="D1062" s="710">
        <v>70</v>
      </c>
      <c r="E1062" s="710">
        <v>1978</v>
      </c>
      <c r="F1062" s="711">
        <v>79</v>
      </c>
      <c r="G1062" s="711">
        <v>5.55</v>
      </c>
      <c r="H1062" s="711">
        <v>11.2</v>
      </c>
      <c r="I1062" s="711">
        <v>62.249</v>
      </c>
      <c r="J1062" s="754" t="s">
        <v>823</v>
      </c>
      <c r="K1062" s="711">
        <v>62.249</v>
      </c>
      <c r="L1062" s="719">
        <v>3231.2</v>
      </c>
      <c r="M1062" s="721">
        <f t="shared" si="162"/>
        <v>0.019264978955186928</v>
      </c>
      <c r="N1062" s="720">
        <v>323.29</v>
      </c>
      <c r="O1062" s="723">
        <f t="shared" si="159"/>
        <v>6.228175046422383</v>
      </c>
      <c r="P1062" s="716">
        <f t="shared" si="160"/>
        <v>1155.8987373112157</v>
      </c>
      <c r="Q1062" s="722">
        <f t="shared" si="161"/>
        <v>373.6905027853429</v>
      </c>
      <c r="S1062" s="88"/>
      <c r="T1062" s="88"/>
    </row>
    <row r="1063" spans="1:20" ht="12.75" customHeight="1">
      <c r="A1063" s="950"/>
      <c r="B1063" s="725">
        <v>7</v>
      </c>
      <c r="C1063" s="709" t="s">
        <v>829</v>
      </c>
      <c r="D1063" s="710">
        <v>20</v>
      </c>
      <c r="E1063" s="710" t="s">
        <v>67</v>
      </c>
      <c r="F1063" s="711">
        <v>23.729</v>
      </c>
      <c r="G1063" s="711">
        <v>2.372</v>
      </c>
      <c r="H1063" s="711">
        <v>3.2</v>
      </c>
      <c r="I1063" s="711">
        <v>18.156</v>
      </c>
      <c r="J1063" s="754" t="s">
        <v>823</v>
      </c>
      <c r="K1063" s="711">
        <v>18.156</v>
      </c>
      <c r="L1063" s="719">
        <v>927.27</v>
      </c>
      <c r="M1063" s="721">
        <f t="shared" si="162"/>
        <v>0.01958005758840467</v>
      </c>
      <c r="N1063" s="720">
        <v>323.29</v>
      </c>
      <c r="O1063" s="723">
        <f t="shared" si="159"/>
        <v>6.330036817755346</v>
      </c>
      <c r="P1063" s="716">
        <f t="shared" si="160"/>
        <v>1174.8034553042803</v>
      </c>
      <c r="Q1063" s="722">
        <f t="shared" si="161"/>
        <v>379.80220906532077</v>
      </c>
      <c r="S1063" s="88"/>
      <c r="T1063" s="88"/>
    </row>
    <row r="1064" spans="1:20" ht="12.75" customHeight="1">
      <c r="A1064" s="950"/>
      <c r="B1064" s="725">
        <v>8</v>
      </c>
      <c r="C1064" s="709" t="s">
        <v>830</v>
      </c>
      <c r="D1064" s="710">
        <v>40</v>
      </c>
      <c r="E1064" s="710">
        <v>1980</v>
      </c>
      <c r="F1064" s="711">
        <v>54.8</v>
      </c>
      <c r="G1064" s="711">
        <v>3.568</v>
      </c>
      <c r="H1064" s="711">
        <v>6.4</v>
      </c>
      <c r="I1064" s="711">
        <v>44.831</v>
      </c>
      <c r="J1064" s="754" t="s">
        <v>823</v>
      </c>
      <c r="K1064" s="711">
        <v>44.831</v>
      </c>
      <c r="L1064" s="719">
        <v>2251.11</v>
      </c>
      <c r="M1064" s="721">
        <f t="shared" si="162"/>
        <v>0.01991506412392109</v>
      </c>
      <c r="N1064" s="720">
        <v>323.29</v>
      </c>
      <c r="O1064" s="723">
        <f t="shared" si="159"/>
        <v>6.4383410806224495</v>
      </c>
      <c r="P1064" s="716">
        <f t="shared" si="160"/>
        <v>1194.9038474352653</v>
      </c>
      <c r="Q1064" s="722">
        <f t="shared" si="161"/>
        <v>386.30046483734696</v>
      </c>
      <c r="S1064" s="88"/>
      <c r="T1064" s="88"/>
    </row>
    <row r="1065" spans="1:20" ht="13.5" customHeight="1">
      <c r="A1065" s="950"/>
      <c r="B1065" s="725">
        <v>9</v>
      </c>
      <c r="C1065" s="709" t="s">
        <v>831</v>
      </c>
      <c r="D1065" s="710">
        <v>20</v>
      </c>
      <c r="E1065" s="710">
        <v>1995</v>
      </c>
      <c r="F1065" s="711">
        <v>27.4</v>
      </c>
      <c r="G1065" s="711">
        <v>1.925</v>
      </c>
      <c r="H1065" s="711">
        <v>3.2</v>
      </c>
      <c r="I1065" s="711">
        <v>22.274</v>
      </c>
      <c r="J1065" s="754" t="s">
        <v>823</v>
      </c>
      <c r="K1065" s="711">
        <v>22.274</v>
      </c>
      <c r="L1065" s="719">
        <v>1108.2</v>
      </c>
      <c r="M1065" s="721">
        <f t="shared" si="162"/>
        <v>0.020099260061360764</v>
      </c>
      <c r="N1065" s="720">
        <v>323.29</v>
      </c>
      <c r="O1065" s="723">
        <f t="shared" si="159"/>
        <v>6.497889785237322</v>
      </c>
      <c r="P1065" s="716">
        <f t="shared" si="160"/>
        <v>1205.955603681646</v>
      </c>
      <c r="Q1065" s="722">
        <f t="shared" si="161"/>
        <v>389.87338711423934</v>
      </c>
      <c r="S1065" s="88"/>
      <c r="T1065" s="88"/>
    </row>
    <row r="1066" spans="1:20" ht="13.5" customHeight="1" thickBot="1">
      <c r="A1066" s="951"/>
      <c r="B1066" s="734"/>
      <c r="C1066" s="745" t="s">
        <v>832</v>
      </c>
      <c r="D1066" s="746">
        <v>28</v>
      </c>
      <c r="E1066" s="746">
        <v>1985</v>
      </c>
      <c r="F1066" s="747">
        <v>31.746</v>
      </c>
      <c r="G1066" s="747">
        <v>3.296</v>
      </c>
      <c r="H1066" s="747">
        <v>4.48</v>
      </c>
      <c r="I1066" s="747">
        <v>23.969</v>
      </c>
      <c r="J1066" s="756" t="s">
        <v>823</v>
      </c>
      <c r="K1066" s="747">
        <v>23.969</v>
      </c>
      <c r="L1066" s="748">
        <v>1186.16</v>
      </c>
      <c r="M1066" s="749">
        <f t="shared" si="162"/>
        <v>0.020207223308828487</v>
      </c>
      <c r="N1066" s="757">
        <v>323.29</v>
      </c>
      <c r="O1066" s="750">
        <f t="shared" si="159"/>
        <v>6.532793223511162</v>
      </c>
      <c r="P1066" s="750">
        <f t="shared" si="160"/>
        <v>1212.4333985297092</v>
      </c>
      <c r="Q1066" s="751">
        <f t="shared" si="161"/>
        <v>391.96759341066974</v>
      </c>
      <c r="S1066" s="88"/>
      <c r="T1066" s="88"/>
    </row>
    <row r="1067" spans="1:20" ht="12.75">
      <c r="A1067" s="963" t="s">
        <v>30</v>
      </c>
      <c r="B1067" s="32">
        <v>1</v>
      </c>
      <c r="C1067" s="215" t="s">
        <v>833</v>
      </c>
      <c r="D1067" s="217">
        <v>40</v>
      </c>
      <c r="E1067" s="217">
        <v>1976</v>
      </c>
      <c r="F1067" s="313">
        <v>58.1</v>
      </c>
      <c r="G1067" s="313">
        <v>4.701</v>
      </c>
      <c r="H1067" s="313">
        <v>6.4</v>
      </c>
      <c r="I1067" s="313">
        <v>47</v>
      </c>
      <c r="J1067" s="354" t="s">
        <v>834</v>
      </c>
      <c r="K1067" s="313">
        <v>47</v>
      </c>
      <c r="L1067" s="390">
        <v>2272.19</v>
      </c>
      <c r="M1067" s="209">
        <f>K1067/L1067</f>
        <v>0.020684889907974246</v>
      </c>
      <c r="N1067" s="220">
        <v>323.29</v>
      </c>
      <c r="O1067" s="208">
        <f>M1067*N1067</f>
        <v>6.687218058348995</v>
      </c>
      <c r="P1067" s="208">
        <f>M1067*60*1000</f>
        <v>1241.0933944784547</v>
      </c>
      <c r="Q1067" s="210">
        <f>P1067*N1067/1000</f>
        <v>401.23308350093964</v>
      </c>
      <c r="S1067" s="88"/>
      <c r="T1067" s="88"/>
    </row>
    <row r="1068" spans="1:20" ht="12.75">
      <c r="A1068" s="938"/>
      <c r="B1068" s="34">
        <v>2</v>
      </c>
      <c r="C1068" s="205" t="s">
        <v>473</v>
      </c>
      <c r="D1068" s="135">
        <v>12</v>
      </c>
      <c r="E1068" s="135">
        <v>1985</v>
      </c>
      <c r="F1068" s="222">
        <v>17.266</v>
      </c>
      <c r="G1068" s="222">
        <v>1.189</v>
      </c>
      <c r="H1068" s="222">
        <v>1.76</v>
      </c>
      <c r="I1068" s="222">
        <v>14.316</v>
      </c>
      <c r="J1068" s="206" t="s">
        <v>834</v>
      </c>
      <c r="K1068" s="222">
        <v>14.316</v>
      </c>
      <c r="L1068" s="277">
        <v>680.43</v>
      </c>
      <c r="M1068" s="146">
        <f aca="true" t="shared" si="163" ref="M1068:M1076">K1068/L1068</f>
        <v>0.021039636700321857</v>
      </c>
      <c r="N1068" s="147">
        <v>323.29</v>
      </c>
      <c r="O1068" s="148">
        <f aca="true" t="shared" si="164" ref="O1068:O1076">M1068*N1068</f>
        <v>6.801904148847053</v>
      </c>
      <c r="P1068" s="208">
        <f aca="true" t="shared" si="165" ref="P1068:P1076">M1068*60*1000</f>
        <v>1262.3782020193114</v>
      </c>
      <c r="Q1068" s="149">
        <f aca="true" t="shared" si="166" ref="Q1068:Q1076">P1068*N1068/1000</f>
        <v>408.11424893082324</v>
      </c>
      <c r="S1068" s="88"/>
      <c r="T1068" s="88"/>
    </row>
    <row r="1069" spans="1:20" ht="12.75">
      <c r="A1069" s="938"/>
      <c r="B1069" s="34">
        <v>3</v>
      </c>
      <c r="C1069" s="205" t="s">
        <v>835</v>
      </c>
      <c r="D1069" s="135">
        <v>8</v>
      </c>
      <c r="E1069" s="135" t="s">
        <v>67</v>
      </c>
      <c r="F1069" s="222">
        <v>9.08</v>
      </c>
      <c r="G1069" s="222">
        <v>0.319</v>
      </c>
      <c r="H1069" s="222">
        <v>0.07</v>
      </c>
      <c r="I1069" s="222">
        <v>8.69</v>
      </c>
      <c r="J1069" s="206" t="s">
        <v>834</v>
      </c>
      <c r="K1069" s="222">
        <v>8.69</v>
      </c>
      <c r="L1069" s="277">
        <v>407.95</v>
      </c>
      <c r="M1069" s="146">
        <f t="shared" si="163"/>
        <v>0.021301630101728152</v>
      </c>
      <c r="N1069" s="147">
        <v>323.29</v>
      </c>
      <c r="O1069" s="148">
        <f t="shared" si="164"/>
        <v>6.886603995587695</v>
      </c>
      <c r="P1069" s="208">
        <f t="shared" si="165"/>
        <v>1278.0978061036892</v>
      </c>
      <c r="Q1069" s="149">
        <f t="shared" si="166"/>
        <v>413.1962397352617</v>
      </c>
      <c r="S1069" s="88"/>
      <c r="T1069" s="88"/>
    </row>
    <row r="1070" spans="1:20" ht="12.75">
      <c r="A1070" s="938"/>
      <c r="B1070" s="34">
        <v>4</v>
      </c>
      <c r="C1070" s="205" t="s">
        <v>836</v>
      </c>
      <c r="D1070" s="135">
        <v>12</v>
      </c>
      <c r="E1070" s="135" t="s">
        <v>67</v>
      </c>
      <c r="F1070" s="222">
        <v>15.975</v>
      </c>
      <c r="G1070" s="222">
        <v>0.169</v>
      </c>
      <c r="H1070" s="222">
        <v>1.92</v>
      </c>
      <c r="I1070" s="222">
        <v>13.885</v>
      </c>
      <c r="J1070" s="206" t="s">
        <v>834</v>
      </c>
      <c r="K1070" s="222">
        <v>13.885</v>
      </c>
      <c r="L1070" s="277">
        <v>651.24</v>
      </c>
      <c r="M1070" s="146">
        <f t="shared" si="163"/>
        <v>0.02132086481174375</v>
      </c>
      <c r="N1070" s="147">
        <v>323.29</v>
      </c>
      <c r="O1070" s="148">
        <f t="shared" si="164"/>
        <v>6.892822384988637</v>
      </c>
      <c r="P1070" s="208">
        <f t="shared" si="165"/>
        <v>1279.251888704625</v>
      </c>
      <c r="Q1070" s="149">
        <f t="shared" si="166"/>
        <v>413.5693430993182</v>
      </c>
      <c r="S1070" s="88"/>
      <c r="T1070" s="88"/>
    </row>
    <row r="1071" spans="1:20" ht="12.75">
      <c r="A1071" s="938"/>
      <c r="B1071" s="34">
        <v>5</v>
      </c>
      <c r="C1071" s="205" t="s">
        <v>393</v>
      </c>
      <c r="D1071" s="135">
        <v>40</v>
      </c>
      <c r="E1071" s="135">
        <v>1991</v>
      </c>
      <c r="F1071" s="222">
        <v>58</v>
      </c>
      <c r="G1071" s="222">
        <v>4.191</v>
      </c>
      <c r="H1071" s="222">
        <v>6.4</v>
      </c>
      <c r="I1071" s="222">
        <v>47.408</v>
      </c>
      <c r="J1071" s="206" t="s">
        <v>834</v>
      </c>
      <c r="K1071" s="222">
        <v>47.408</v>
      </c>
      <c r="L1071" s="277">
        <v>2204.21</v>
      </c>
      <c r="M1071" s="146">
        <f t="shared" si="163"/>
        <v>0.02150793254726183</v>
      </c>
      <c r="N1071" s="147">
        <v>323.29</v>
      </c>
      <c r="O1071" s="148">
        <f t="shared" si="164"/>
        <v>6.953299513204278</v>
      </c>
      <c r="P1071" s="208">
        <f t="shared" si="165"/>
        <v>1290.4759528357097</v>
      </c>
      <c r="Q1071" s="149">
        <f t="shared" si="166"/>
        <v>417.19797079225657</v>
      </c>
      <c r="S1071" s="88"/>
      <c r="T1071" s="88"/>
    </row>
    <row r="1072" spans="1:20" s="92" customFormat="1" ht="12.75">
      <c r="A1072" s="938"/>
      <c r="B1072" s="97">
        <v>6</v>
      </c>
      <c r="C1072" s="205" t="s">
        <v>837</v>
      </c>
      <c r="D1072" s="135">
        <v>20</v>
      </c>
      <c r="E1072" s="135">
        <v>1971</v>
      </c>
      <c r="F1072" s="222">
        <v>27.12</v>
      </c>
      <c r="G1072" s="222">
        <v>1.529</v>
      </c>
      <c r="H1072" s="222">
        <v>2.8</v>
      </c>
      <c r="I1072" s="222">
        <v>22.791</v>
      </c>
      <c r="J1072" s="206" t="s">
        <v>834</v>
      </c>
      <c r="K1072" s="222">
        <v>22.791</v>
      </c>
      <c r="L1072" s="277">
        <v>1001.73</v>
      </c>
      <c r="M1072" s="146">
        <f t="shared" si="163"/>
        <v>0.02275163966338235</v>
      </c>
      <c r="N1072" s="147">
        <v>323.29</v>
      </c>
      <c r="O1072" s="148">
        <f t="shared" si="164"/>
        <v>7.35537758677488</v>
      </c>
      <c r="P1072" s="208">
        <f t="shared" si="165"/>
        <v>1365.098379802941</v>
      </c>
      <c r="Q1072" s="149">
        <f t="shared" si="166"/>
        <v>441.32265520649287</v>
      </c>
      <c r="S1072" s="88"/>
      <c r="T1072" s="88"/>
    </row>
    <row r="1073" spans="1:20" ht="12.75">
      <c r="A1073" s="938"/>
      <c r="B1073" s="34">
        <v>7</v>
      </c>
      <c r="C1073" s="205" t="s">
        <v>838</v>
      </c>
      <c r="D1073" s="135">
        <v>22</v>
      </c>
      <c r="E1073" s="135">
        <v>1981</v>
      </c>
      <c r="F1073" s="222">
        <v>37.546</v>
      </c>
      <c r="G1073" s="222">
        <v>3.664</v>
      </c>
      <c r="H1073" s="222">
        <v>3.52</v>
      </c>
      <c r="I1073" s="222">
        <v>30.362</v>
      </c>
      <c r="J1073" s="206" t="s">
        <v>834</v>
      </c>
      <c r="K1073" s="222">
        <v>30.362</v>
      </c>
      <c r="L1073" s="277">
        <v>1220.59</v>
      </c>
      <c r="M1073" s="146">
        <f t="shared" si="163"/>
        <v>0.024874855602618408</v>
      </c>
      <c r="N1073" s="147">
        <v>323.29</v>
      </c>
      <c r="O1073" s="148">
        <f t="shared" si="164"/>
        <v>8.041792067770505</v>
      </c>
      <c r="P1073" s="208">
        <f t="shared" si="165"/>
        <v>1492.4913361571043</v>
      </c>
      <c r="Q1073" s="149">
        <f t="shared" si="166"/>
        <v>482.5075240662303</v>
      </c>
      <c r="S1073" s="88"/>
      <c r="T1073" s="88"/>
    </row>
    <row r="1074" spans="1:20" ht="12.75">
      <c r="A1074" s="938"/>
      <c r="B1074" s="34">
        <v>8</v>
      </c>
      <c r="C1074" s="205" t="s">
        <v>839</v>
      </c>
      <c r="D1074" s="135">
        <v>22</v>
      </c>
      <c r="E1074" s="135">
        <v>1983</v>
      </c>
      <c r="F1074" s="222">
        <v>35.1</v>
      </c>
      <c r="G1074" s="222">
        <v>1.585</v>
      </c>
      <c r="H1074" s="222">
        <v>2.62</v>
      </c>
      <c r="I1074" s="222">
        <v>30.895</v>
      </c>
      <c r="J1074" s="206" t="s">
        <v>834</v>
      </c>
      <c r="K1074" s="222">
        <v>30.895</v>
      </c>
      <c r="L1074" s="277">
        <v>1173.49</v>
      </c>
      <c r="M1074" s="146">
        <f t="shared" si="163"/>
        <v>0.02632745059608518</v>
      </c>
      <c r="N1074" s="147">
        <v>323.29</v>
      </c>
      <c r="O1074" s="148">
        <f t="shared" si="164"/>
        <v>8.51140150320838</v>
      </c>
      <c r="P1074" s="208">
        <f t="shared" si="165"/>
        <v>1579.6470357651108</v>
      </c>
      <c r="Q1074" s="149">
        <f t="shared" si="166"/>
        <v>510.6840901925027</v>
      </c>
      <c r="S1074" s="88"/>
      <c r="T1074" s="88"/>
    </row>
    <row r="1075" spans="1:20" ht="12.75">
      <c r="A1075" s="939"/>
      <c r="B1075" s="75">
        <v>9</v>
      </c>
      <c r="C1075" s="205" t="s">
        <v>840</v>
      </c>
      <c r="D1075" s="135">
        <v>12</v>
      </c>
      <c r="E1075" s="135" t="s">
        <v>67</v>
      </c>
      <c r="F1075" s="222">
        <v>22.583</v>
      </c>
      <c r="G1075" s="222">
        <v>1.585</v>
      </c>
      <c r="H1075" s="222">
        <v>1.92</v>
      </c>
      <c r="I1075" s="222">
        <v>19.077</v>
      </c>
      <c r="J1075" s="206" t="s">
        <v>834</v>
      </c>
      <c r="K1075" s="222">
        <v>19.077</v>
      </c>
      <c r="L1075" s="277">
        <v>711.3</v>
      </c>
      <c r="M1075" s="146">
        <f t="shared" si="163"/>
        <v>0.026819907212146776</v>
      </c>
      <c r="N1075" s="147">
        <v>323.29</v>
      </c>
      <c r="O1075" s="148">
        <f t="shared" si="164"/>
        <v>8.670607802614931</v>
      </c>
      <c r="P1075" s="208">
        <f t="shared" si="165"/>
        <v>1609.1944327288065</v>
      </c>
      <c r="Q1075" s="149">
        <f t="shared" si="166"/>
        <v>520.2364681568959</v>
      </c>
      <c r="S1075" s="88"/>
      <c r="T1075" s="88"/>
    </row>
    <row r="1076" spans="1:20" ht="13.5" thickBot="1">
      <c r="A1076" s="940"/>
      <c r="B1076" s="36">
        <v>10</v>
      </c>
      <c r="C1076" s="216" t="s">
        <v>474</v>
      </c>
      <c r="D1076" s="136">
        <v>38</v>
      </c>
      <c r="E1076" s="136">
        <v>1969</v>
      </c>
      <c r="F1076" s="312">
        <v>53</v>
      </c>
      <c r="G1076" s="312">
        <v>4.078</v>
      </c>
      <c r="H1076" s="312">
        <v>5.84</v>
      </c>
      <c r="I1076" s="312">
        <v>43.081</v>
      </c>
      <c r="J1076" s="358" t="s">
        <v>834</v>
      </c>
      <c r="K1076" s="312">
        <v>43.081</v>
      </c>
      <c r="L1076" s="278">
        <v>1586.93</v>
      </c>
      <c r="M1076" s="211">
        <f t="shared" si="163"/>
        <v>0.027147385202875993</v>
      </c>
      <c r="N1076" s="221">
        <v>323.29</v>
      </c>
      <c r="O1076" s="212">
        <f t="shared" si="164"/>
        <v>8.77647816223778</v>
      </c>
      <c r="P1076" s="212">
        <f t="shared" si="165"/>
        <v>1628.8431121725596</v>
      </c>
      <c r="Q1076" s="213">
        <f t="shared" si="166"/>
        <v>526.5886897342668</v>
      </c>
      <c r="S1076" s="88"/>
      <c r="T1076" s="88"/>
    </row>
    <row r="1077" spans="1:20" ht="12.75">
      <c r="A1077" s="964" t="s">
        <v>12</v>
      </c>
      <c r="B1077" s="39">
        <v>1</v>
      </c>
      <c r="C1077" s="166" t="s">
        <v>841</v>
      </c>
      <c r="D1077" s="167">
        <v>18</v>
      </c>
      <c r="E1077" s="167">
        <v>1961</v>
      </c>
      <c r="F1077" s="250">
        <v>26.383</v>
      </c>
      <c r="G1077" s="250">
        <v>1.076</v>
      </c>
      <c r="H1077" s="250">
        <v>2.4</v>
      </c>
      <c r="I1077" s="250">
        <v>22.906</v>
      </c>
      <c r="J1077" s="455" t="s">
        <v>834</v>
      </c>
      <c r="K1077" s="250">
        <v>22.906</v>
      </c>
      <c r="L1077" s="391">
        <v>839.24</v>
      </c>
      <c r="M1077" s="170">
        <f>K1077/L1077</f>
        <v>0.027293741957008722</v>
      </c>
      <c r="N1077" s="168">
        <v>323.29</v>
      </c>
      <c r="O1077" s="171">
        <f>M1077*N1077</f>
        <v>8.82379383728135</v>
      </c>
      <c r="P1077" s="171">
        <f>M1077*60*1000</f>
        <v>1637.6245174205233</v>
      </c>
      <c r="Q1077" s="172">
        <f>P1077*N1077/1000</f>
        <v>529.427630236881</v>
      </c>
      <c r="S1077" s="88"/>
      <c r="T1077" s="88"/>
    </row>
    <row r="1078" spans="1:20" ht="12.75">
      <c r="A1078" s="965"/>
      <c r="B1078" s="41">
        <v>2</v>
      </c>
      <c r="C1078" s="169" t="s">
        <v>842</v>
      </c>
      <c r="D1078" s="137">
        <v>14</v>
      </c>
      <c r="E1078" s="137" t="s">
        <v>67</v>
      </c>
      <c r="F1078" s="218">
        <v>18.08</v>
      </c>
      <c r="G1078" s="218">
        <v>0.566</v>
      </c>
      <c r="H1078" s="218">
        <v>0.14</v>
      </c>
      <c r="I1078" s="218">
        <v>17.374</v>
      </c>
      <c r="J1078" s="207" t="s">
        <v>834</v>
      </c>
      <c r="K1078" s="218">
        <v>17.374</v>
      </c>
      <c r="L1078" s="275">
        <v>621</v>
      </c>
      <c r="M1078" s="150">
        <f aca="true" t="shared" si="167" ref="M1078:M1086">K1078/L1078</f>
        <v>0.02797745571658615</v>
      </c>
      <c r="N1078" s="151">
        <v>323.29</v>
      </c>
      <c r="O1078" s="152">
        <f aca="true" t="shared" si="168" ref="O1078:O1086">M1078*N1078</f>
        <v>9.044831658615138</v>
      </c>
      <c r="P1078" s="171">
        <f aca="true" t="shared" si="169" ref="P1078:P1086">M1078*60*1000</f>
        <v>1678.6473429951689</v>
      </c>
      <c r="Q1078" s="153">
        <f aca="true" t="shared" si="170" ref="Q1078:Q1086">P1078*N1078/1000</f>
        <v>542.6898995169082</v>
      </c>
      <c r="S1078" s="88"/>
      <c r="T1078" s="88"/>
    </row>
    <row r="1079" spans="1:20" s="92" customFormat="1" ht="12.75">
      <c r="A1079" s="965"/>
      <c r="B1079" s="106">
        <v>3</v>
      </c>
      <c r="C1079" s="169" t="s">
        <v>475</v>
      </c>
      <c r="D1079" s="137">
        <v>12</v>
      </c>
      <c r="E1079" s="137">
        <v>1963</v>
      </c>
      <c r="F1079" s="218">
        <v>16.5</v>
      </c>
      <c r="G1079" s="218">
        <v>0.64</v>
      </c>
      <c r="H1079" s="218">
        <v>0.12</v>
      </c>
      <c r="I1079" s="218">
        <v>15.74</v>
      </c>
      <c r="J1079" s="207" t="s">
        <v>834</v>
      </c>
      <c r="K1079" s="218">
        <v>15.74</v>
      </c>
      <c r="L1079" s="275">
        <v>533.67</v>
      </c>
      <c r="M1079" s="150">
        <f t="shared" si="167"/>
        <v>0.02949388198699571</v>
      </c>
      <c r="N1079" s="151">
        <v>323.29</v>
      </c>
      <c r="O1079" s="152">
        <f t="shared" si="168"/>
        <v>9.535077107575844</v>
      </c>
      <c r="P1079" s="171">
        <f t="shared" si="169"/>
        <v>1769.6329192197427</v>
      </c>
      <c r="Q1079" s="153">
        <f t="shared" si="170"/>
        <v>572.1046264545506</v>
      </c>
      <c r="S1079" s="88"/>
      <c r="T1079" s="88"/>
    </row>
    <row r="1080" spans="1:20" s="92" customFormat="1" ht="12.75">
      <c r="A1080" s="965"/>
      <c r="B1080" s="106">
        <v>4</v>
      </c>
      <c r="C1080" s="169" t="s">
        <v>843</v>
      </c>
      <c r="D1080" s="137">
        <v>12</v>
      </c>
      <c r="E1080" s="137">
        <v>1987</v>
      </c>
      <c r="F1080" s="218">
        <v>22.806</v>
      </c>
      <c r="G1080" s="218">
        <v>0.566</v>
      </c>
      <c r="H1080" s="218">
        <v>1.61</v>
      </c>
      <c r="I1080" s="218">
        <v>20.629</v>
      </c>
      <c r="J1080" s="207" t="s">
        <v>834</v>
      </c>
      <c r="K1080" s="218">
        <v>20.629</v>
      </c>
      <c r="L1080" s="275">
        <v>681.87</v>
      </c>
      <c r="M1080" s="150">
        <f t="shared" si="167"/>
        <v>0.030253567395544606</v>
      </c>
      <c r="N1080" s="151">
        <v>323.29</v>
      </c>
      <c r="O1080" s="152">
        <f t="shared" si="168"/>
        <v>9.780675803305616</v>
      </c>
      <c r="P1080" s="171">
        <f t="shared" si="169"/>
        <v>1815.2140437326761</v>
      </c>
      <c r="Q1080" s="153">
        <f t="shared" si="170"/>
        <v>586.8405481983368</v>
      </c>
      <c r="S1080" s="88"/>
      <c r="T1080" s="88"/>
    </row>
    <row r="1081" spans="1:20" ht="12.75">
      <c r="A1081" s="965"/>
      <c r="B1081" s="41">
        <v>5</v>
      </c>
      <c r="C1081" s="169" t="s">
        <v>844</v>
      </c>
      <c r="D1081" s="137">
        <v>24</v>
      </c>
      <c r="E1081" s="137">
        <v>1963</v>
      </c>
      <c r="F1081" s="218">
        <v>34</v>
      </c>
      <c r="G1081" s="218">
        <v>1.133</v>
      </c>
      <c r="H1081" s="218">
        <v>0.24</v>
      </c>
      <c r="I1081" s="218">
        <v>32.627</v>
      </c>
      <c r="J1081" s="207" t="s">
        <v>834</v>
      </c>
      <c r="K1081" s="218">
        <v>32.627</v>
      </c>
      <c r="L1081" s="275">
        <v>1066.6</v>
      </c>
      <c r="M1081" s="150">
        <f t="shared" si="167"/>
        <v>0.030589724357772366</v>
      </c>
      <c r="N1081" s="151">
        <v>323.29</v>
      </c>
      <c r="O1081" s="152">
        <f t="shared" si="168"/>
        <v>9.889351987624229</v>
      </c>
      <c r="P1081" s="171">
        <f t="shared" si="169"/>
        <v>1835.383461466342</v>
      </c>
      <c r="Q1081" s="153">
        <f t="shared" si="170"/>
        <v>593.3611192574538</v>
      </c>
      <c r="S1081" s="88"/>
      <c r="T1081" s="88"/>
    </row>
    <row r="1082" spans="1:20" ht="12.75">
      <c r="A1082" s="965"/>
      <c r="B1082" s="41">
        <v>6</v>
      </c>
      <c r="C1082" s="169" t="s">
        <v>845</v>
      </c>
      <c r="D1082" s="137">
        <v>22</v>
      </c>
      <c r="E1082" s="137">
        <v>1983</v>
      </c>
      <c r="F1082" s="218">
        <v>42.7</v>
      </c>
      <c r="G1082" s="218">
        <v>1.99</v>
      </c>
      <c r="H1082" s="218">
        <v>3.52</v>
      </c>
      <c r="I1082" s="218">
        <v>37.189</v>
      </c>
      <c r="J1082" s="207" t="s">
        <v>834</v>
      </c>
      <c r="K1082" s="218">
        <v>37.189</v>
      </c>
      <c r="L1082" s="275">
        <v>1195.71</v>
      </c>
      <c r="M1082" s="150">
        <f t="shared" si="167"/>
        <v>0.031102023065793544</v>
      </c>
      <c r="N1082" s="151">
        <v>323.29</v>
      </c>
      <c r="O1082" s="152">
        <f t="shared" si="168"/>
        <v>10.054973036940396</v>
      </c>
      <c r="P1082" s="171">
        <f t="shared" si="169"/>
        <v>1866.1213839476125</v>
      </c>
      <c r="Q1082" s="153">
        <f t="shared" si="170"/>
        <v>603.2983822164236</v>
      </c>
      <c r="S1082" s="88"/>
      <c r="T1082" s="88"/>
    </row>
    <row r="1083" spans="1:20" ht="12.75">
      <c r="A1083" s="965"/>
      <c r="B1083" s="41">
        <v>7</v>
      </c>
      <c r="C1083" s="169" t="s">
        <v>846</v>
      </c>
      <c r="D1083" s="137">
        <v>8</v>
      </c>
      <c r="E1083" s="137">
        <v>1955</v>
      </c>
      <c r="F1083" s="218">
        <v>14.6</v>
      </c>
      <c r="G1083" s="218">
        <v>0.963</v>
      </c>
      <c r="H1083" s="218">
        <v>1.2</v>
      </c>
      <c r="I1083" s="218">
        <v>12.437</v>
      </c>
      <c r="J1083" s="207" t="s">
        <v>834</v>
      </c>
      <c r="K1083" s="218">
        <v>12.437</v>
      </c>
      <c r="L1083" s="275">
        <v>390.37</v>
      </c>
      <c r="M1083" s="150">
        <f t="shared" si="167"/>
        <v>0.03185951789328073</v>
      </c>
      <c r="N1083" s="151">
        <v>323.29</v>
      </c>
      <c r="O1083" s="152">
        <f t="shared" si="168"/>
        <v>10.299863539718729</v>
      </c>
      <c r="P1083" s="171">
        <f t="shared" si="169"/>
        <v>1911.571073596844</v>
      </c>
      <c r="Q1083" s="153">
        <f t="shared" si="170"/>
        <v>617.9918123831237</v>
      </c>
      <c r="S1083" s="88"/>
      <c r="T1083" s="88"/>
    </row>
    <row r="1084" spans="1:20" ht="12.75">
      <c r="A1084" s="965"/>
      <c r="B1084" s="41">
        <v>8</v>
      </c>
      <c r="C1084" s="169" t="s">
        <v>291</v>
      </c>
      <c r="D1084" s="137">
        <v>6</v>
      </c>
      <c r="E1084" s="137">
        <v>1986</v>
      </c>
      <c r="F1084" s="218">
        <v>14.329</v>
      </c>
      <c r="G1084" s="218">
        <v>0.623</v>
      </c>
      <c r="H1084" s="218">
        <v>0.88</v>
      </c>
      <c r="I1084" s="218">
        <v>12.825</v>
      </c>
      <c r="J1084" s="207" t="s">
        <v>834</v>
      </c>
      <c r="K1084" s="218">
        <v>12.825</v>
      </c>
      <c r="L1084" s="275">
        <v>378.43</v>
      </c>
      <c r="M1084" s="150">
        <f t="shared" si="167"/>
        <v>0.0338900192902254</v>
      </c>
      <c r="N1084" s="151">
        <v>323.29</v>
      </c>
      <c r="O1084" s="152">
        <f t="shared" si="168"/>
        <v>10.95630433633697</v>
      </c>
      <c r="P1084" s="171">
        <f t="shared" si="169"/>
        <v>2033.401157413524</v>
      </c>
      <c r="Q1084" s="153">
        <f t="shared" si="170"/>
        <v>657.3782601802183</v>
      </c>
      <c r="S1084" s="88"/>
      <c r="T1084" s="88"/>
    </row>
    <row r="1085" spans="1:20" ht="12.75">
      <c r="A1085" s="965"/>
      <c r="B1085" s="41">
        <v>9</v>
      </c>
      <c r="C1085" s="257" t="s">
        <v>292</v>
      </c>
      <c r="D1085" s="137">
        <v>12</v>
      </c>
      <c r="E1085" s="137">
        <v>1961</v>
      </c>
      <c r="F1085" s="218">
        <v>23.568</v>
      </c>
      <c r="G1085" s="218">
        <v>1.076</v>
      </c>
      <c r="H1085" s="218">
        <v>1.77</v>
      </c>
      <c r="I1085" s="218">
        <v>20.721</v>
      </c>
      <c r="J1085" s="207" t="s">
        <v>834</v>
      </c>
      <c r="K1085" s="218">
        <v>20.721</v>
      </c>
      <c r="L1085" s="275">
        <v>554.42</v>
      </c>
      <c r="M1085" s="150">
        <f t="shared" si="167"/>
        <v>0.03737419285018578</v>
      </c>
      <c r="N1085" s="137">
        <v>323.29</v>
      </c>
      <c r="O1085" s="152">
        <f t="shared" si="168"/>
        <v>12.082702806536563</v>
      </c>
      <c r="P1085" s="171">
        <f t="shared" si="169"/>
        <v>2242.451571011147</v>
      </c>
      <c r="Q1085" s="153">
        <f t="shared" si="170"/>
        <v>724.9621683921937</v>
      </c>
      <c r="S1085" s="88"/>
      <c r="T1085" s="88"/>
    </row>
    <row r="1086" spans="1:20" ht="13.5" thickBot="1">
      <c r="A1086" s="966"/>
      <c r="B1086" s="45">
        <v>10</v>
      </c>
      <c r="C1086" s="258" t="s">
        <v>293</v>
      </c>
      <c r="D1086" s="138">
        <v>12</v>
      </c>
      <c r="E1086" s="138">
        <v>1960</v>
      </c>
      <c r="F1086" s="251">
        <v>22.7</v>
      </c>
      <c r="G1086" s="251">
        <v>0.679</v>
      </c>
      <c r="H1086" s="251">
        <v>0.09</v>
      </c>
      <c r="I1086" s="251">
        <v>21.93</v>
      </c>
      <c r="J1086" s="455" t="s">
        <v>834</v>
      </c>
      <c r="K1086" s="251">
        <v>21.93</v>
      </c>
      <c r="L1086" s="365">
        <v>550.28</v>
      </c>
      <c r="M1086" s="154">
        <f t="shared" si="167"/>
        <v>0.039852438758450244</v>
      </c>
      <c r="N1086" s="138">
        <v>323.29</v>
      </c>
      <c r="O1086" s="156">
        <f t="shared" si="168"/>
        <v>12.88389492621938</v>
      </c>
      <c r="P1086" s="156">
        <f t="shared" si="169"/>
        <v>2391.146325507015</v>
      </c>
      <c r="Q1086" s="157">
        <f t="shared" si="170"/>
        <v>773.0336955731628</v>
      </c>
      <c r="S1086" s="88"/>
      <c r="T1086" s="88"/>
    </row>
    <row r="1087" spans="10:20" ht="12.75">
      <c r="J1087" s="240"/>
      <c r="S1087" s="88"/>
      <c r="T1087" s="88"/>
    </row>
    <row r="1088" spans="19:20" ht="12.75">
      <c r="S1088" s="88"/>
      <c r="T1088" s="88"/>
    </row>
    <row r="1089" spans="19:20" ht="12.75">
      <c r="S1089" s="88"/>
      <c r="T1089" s="88"/>
    </row>
    <row r="1090" spans="19:20" ht="12.75">
      <c r="S1090" s="88"/>
      <c r="T1090" s="88"/>
    </row>
    <row r="1091" spans="19:20" ht="12.75">
      <c r="S1091" s="88"/>
      <c r="T1091" s="88"/>
    </row>
    <row r="1092" spans="19:20" ht="12.75">
      <c r="S1092" s="88"/>
      <c r="T1092" s="88"/>
    </row>
    <row r="1093" spans="1:20" ht="15">
      <c r="A1093" s="967" t="s">
        <v>54</v>
      </c>
      <c r="B1093" s="967"/>
      <c r="C1093" s="967"/>
      <c r="D1093" s="967"/>
      <c r="E1093" s="967"/>
      <c r="F1093" s="967"/>
      <c r="G1093" s="967"/>
      <c r="H1093" s="967"/>
      <c r="I1093" s="967"/>
      <c r="J1093" s="967"/>
      <c r="K1093" s="967"/>
      <c r="L1093" s="967"/>
      <c r="M1093" s="967"/>
      <c r="N1093" s="967"/>
      <c r="O1093" s="967"/>
      <c r="P1093" s="967"/>
      <c r="Q1093" s="967"/>
      <c r="S1093" s="88"/>
      <c r="T1093" s="88"/>
    </row>
    <row r="1094" spans="1:20" ht="13.5" thickBot="1">
      <c r="A1094" s="968" t="s">
        <v>848</v>
      </c>
      <c r="B1094" s="968"/>
      <c r="C1094" s="968"/>
      <c r="D1094" s="968"/>
      <c r="E1094" s="968"/>
      <c r="F1094" s="968"/>
      <c r="G1094" s="968"/>
      <c r="H1094" s="968"/>
      <c r="I1094" s="968"/>
      <c r="J1094" s="968"/>
      <c r="K1094" s="968"/>
      <c r="L1094" s="968"/>
      <c r="M1094" s="968"/>
      <c r="N1094" s="968"/>
      <c r="O1094" s="968"/>
      <c r="P1094" s="968"/>
      <c r="Q1094" s="968"/>
      <c r="S1094" s="88"/>
      <c r="T1094" s="88"/>
    </row>
    <row r="1095" spans="1:20" ht="12.75" customHeight="1">
      <c r="A1095" s="952" t="s">
        <v>1</v>
      </c>
      <c r="B1095" s="955" t="s">
        <v>0</v>
      </c>
      <c r="C1095" s="944" t="s">
        <v>2</v>
      </c>
      <c r="D1095" s="944" t="s">
        <v>3</v>
      </c>
      <c r="E1095" s="944" t="s">
        <v>13</v>
      </c>
      <c r="F1095" s="960" t="s">
        <v>14</v>
      </c>
      <c r="G1095" s="961"/>
      <c r="H1095" s="961"/>
      <c r="I1095" s="962"/>
      <c r="J1095" s="944" t="s">
        <v>4</v>
      </c>
      <c r="K1095" s="944" t="s">
        <v>15</v>
      </c>
      <c r="L1095" s="944" t="s">
        <v>5</v>
      </c>
      <c r="M1095" s="944" t="s">
        <v>6</v>
      </c>
      <c r="N1095" s="944" t="s">
        <v>16</v>
      </c>
      <c r="O1095" s="969" t="s">
        <v>17</v>
      </c>
      <c r="P1095" s="944" t="s">
        <v>25</v>
      </c>
      <c r="Q1095" s="929" t="s">
        <v>26</v>
      </c>
      <c r="S1095" s="88"/>
      <c r="T1095" s="88"/>
    </row>
    <row r="1096" spans="1:20" s="2" customFormat="1" ht="33.75">
      <c r="A1096" s="953"/>
      <c r="B1096" s="956"/>
      <c r="C1096" s="958"/>
      <c r="D1096" s="945"/>
      <c r="E1096" s="945"/>
      <c r="F1096" s="37" t="s">
        <v>18</v>
      </c>
      <c r="G1096" s="37" t="s">
        <v>19</v>
      </c>
      <c r="H1096" s="37" t="s">
        <v>20</v>
      </c>
      <c r="I1096" s="37" t="s">
        <v>21</v>
      </c>
      <c r="J1096" s="945"/>
      <c r="K1096" s="945"/>
      <c r="L1096" s="945"/>
      <c r="M1096" s="945"/>
      <c r="N1096" s="945"/>
      <c r="O1096" s="970"/>
      <c r="P1096" s="945"/>
      <c r="Q1096" s="930"/>
      <c r="S1096" s="88"/>
      <c r="T1096" s="88"/>
    </row>
    <row r="1097" spans="1:20" s="3" customFormat="1" ht="13.5" customHeight="1" thickBot="1">
      <c r="A1097" s="954"/>
      <c r="B1097" s="957"/>
      <c r="C1097" s="959"/>
      <c r="D1097" s="58" t="s">
        <v>7</v>
      </c>
      <c r="E1097" s="58" t="s">
        <v>8</v>
      </c>
      <c r="F1097" s="58" t="s">
        <v>9</v>
      </c>
      <c r="G1097" s="58" t="s">
        <v>9</v>
      </c>
      <c r="H1097" s="58" t="s">
        <v>9</v>
      </c>
      <c r="I1097" s="58" t="s">
        <v>9</v>
      </c>
      <c r="J1097" s="58" t="s">
        <v>22</v>
      </c>
      <c r="K1097" s="58" t="s">
        <v>9</v>
      </c>
      <c r="L1097" s="58" t="s">
        <v>22</v>
      </c>
      <c r="M1097" s="58" t="s">
        <v>23</v>
      </c>
      <c r="N1097" s="58" t="s">
        <v>10</v>
      </c>
      <c r="O1097" s="58" t="s">
        <v>24</v>
      </c>
      <c r="P1097" s="59" t="s">
        <v>27</v>
      </c>
      <c r="Q1097" s="60" t="s">
        <v>28</v>
      </c>
      <c r="S1097" s="88"/>
      <c r="T1097" s="88"/>
    </row>
    <row r="1098" spans="1:20" s="3" customFormat="1" ht="13.5" customHeight="1">
      <c r="A1098" s="922" t="s">
        <v>50</v>
      </c>
      <c r="B1098" s="233">
        <v>1</v>
      </c>
      <c r="C1098" s="202" t="s">
        <v>849</v>
      </c>
      <c r="D1098" s="159">
        <v>24</v>
      </c>
      <c r="E1098" s="159">
        <v>2011</v>
      </c>
      <c r="F1098" s="253">
        <v>20.664</v>
      </c>
      <c r="G1098" s="253">
        <v>2.971</v>
      </c>
      <c r="H1098" s="253">
        <v>1.92</v>
      </c>
      <c r="I1098" s="253">
        <v>15.773</v>
      </c>
      <c r="J1098" s="270">
        <v>1123.75</v>
      </c>
      <c r="K1098" s="253">
        <v>15.773</v>
      </c>
      <c r="L1098" s="270">
        <v>1123.75</v>
      </c>
      <c r="M1098" s="173">
        <f>K1098/L1098</f>
        <v>0.014036040044493882</v>
      </c>
      <c r="N1098" s="253">
        <v>291.793</v>
      </c>
      <c r="O1098" s="526">
        <f>M1098*N1098</f>
        <v>4.0956182327030035</v>
      </c>
      <c r="P1098" s="526">
        <f>M1098*60*1000</f>
        <v>842.1624026696329</v>
      </c>
      <c r="Q1098" s="636">
        <f>P1098*N1098/1000</f>
        <v>245.73709396218018</v>
      </c>
      <c r="S1098" s="88"/>
      <c r="T1098" s="88"/>
    </row>
    <row r="1099" spans="1:20" s="3" customFormat="1" ht="13.5" customHeight="1">
      <c r="A1099" s="916"/>
      <c r="B1099" s="121">
        <v>2</v>
      </c>
      <c r="C1099" s="122"/>
      <c r="D1099" s="261"/>
      <c r="E1099" s="261"/>
      <c r="F1099" s="414"/>
      <c r="G1099" s="414"/>
      <c r="H1099" s="414"/>
      <c r="I1099" s="414"/>
      <c r="J1099" s="416"/>
      <c r="K1099" s="417"/>
      <c r="L1099" s="416"/>
      <c r="M1099" s="417"/>
      <c r="N1099" s="469"/>
      <c r="O1099" s="261"/>
      <c r="P1099" s="261"/>
      <c r="Q1099" s="263"/>
      <c r="S1099" s="88"/>
      <c r="T1099" s="88"/>
    </row>
    <row r="1100" spans="1:20" s="3" customFormat="1" ht="13.5" customHeight="1">
      <c r="A1100" s="916"/>
      <c r="B1100" s="121">
        <v>3</v>
      </c>
      <c r="C1100" s="122"/>
      <c r="D1100" s="261"/>
      <c r="E1100" s="261"/>
      <c r="F1100" s="414"/>
      <c r="G1100" s="414"/>
      <c r="H1100" s="414"/>
      <c r="I1100" s="414"/>
      <c r="J1100" s="416"/>
      <c r="K1100" s="417"/>
      <c r="L1100" s="416"/>
      <c r="M1100" s="417"/>
      <c r="N1100" s="469"/>
      <c r="O1100" s="261"/>
      <c r="P1100" s="261"/>
      <c r="Q1100" s="263"/>
      <c r="S1100" s="88"/>
      <c r="T1100" s="88"/>
    </row>
    <row r="1101" spans="1:20" s="3" customFormat="1" ht="13.5" customHeight="1">
      <c r="A1101" s="916"/>
      <c r="B1101" s="121">
        <v>4</v>
      </c>
      <c r="C1101" s="122"/>
      <c r="D1101" s="261"/>
      <c r="E1101" s="261"/>
      <c r="F1101" s="414"/>
      <c r="G1101" s="414"/>
      <c r="H1101" s="414"/>
      <c r="I1101" s="414"/>
      <c r="J1101" s="416"/>
      <c r="K1101" s="417"/>
      <c r="L1101" s="416"/>
      <c r="M1101" s="417"/>
      <c r="N1101" s="469"/>
      <c r="O1101" s="261"/>
      <c r="P1101" s="261"/>
      <c r="Q1101" s="263"/>
      <c r="S1101" s="88"/>
      <c r="T1101" s="88"/>
    </row>
    <row r="1102" spans="1:20" s="3" customFormat="1" ht="13.5" customHeight="1">
      <c r="A1102" s="916"/>
      <c r="B1102" s="121">
        <v>5</v>
      </c>
      <c r="C1102" s="122"/>
      <c r="D1102" s="261"/>
      <c r="E1102" s="261"/>
      <c r="F1102" s="414"/>
      <c r="G1102" s="414"/>
      <c r="H1102" s="414"/>
      <c r="I1102" s="414"/>
      <c r="J1102" s="416"/>
      <c r="K1102" s="417"/>
      <c r="L1102" s="416"/>
      <c r="M1102" s="417"/>
      <c r="N1102" s="469"/>
      <c r="O1102" s="261"/>
      <c r="P1102" s="261"/>
      <c r="Q1102" s="263"/>
      <c r="S1102" s="88"/>
      <c r="T1102" s="88"/>
    </row>
    <row r="1103" spans="1:20" s="3" customFormat="1" ht="13.5" customHeight="1">
      <c r="A1103" s="916"/>
      <c r="B1103" s="121">
        <v>6</v>
      </c>
      <c r="C1103" s="122"/>
      <c r="D1103" s="261"/>
      <c r="E1103" s="261"/>
      <c r="F1103" s="414"/>
      <c r="G1103" s="414"/>
      <c r="H1103" s="414"/>
      <c r="I1103" s="414"/>
      <c r="J1103" s="416"/>
      <c r="K1103" s="417"/>
      <c r="L1103" s="416"/>
      <c r="M1103" s="417"/>
      <c r="N1103" s="469"/>
      <c r="O1103" s="261"/>
      <c r="P1103" s="261"/>
      <c r="Q1103" s="263"/>
      <c r="S1103" s="88"/>
      <c r="T1103" s="88"/>
    </row>
    <row r="1104" spans="1:20" s="3" customFormat="1" ht="13.5" customHeight="1">
      <c r="A1104" s="916"/>
      <c r="B1104" s="121">
        <v>7</v>
      </c>
      <c r="C1104" s="122"/>
      <c r="D1104" s="261"/>
      <c r="E1104" s="261"/>
      <c r="F1104" s="414"/>
      <c r="G1104" s="414"/>
      <c r="H1104" s="414"/>
      <c r="I1104" s="414"/>
      <c r="J1104" s="416"/>
      <c r="K1104" s="417"/>
      <c r="L1104" s="416"/>
      <c r="M1104" s="417"/>
      <c r="N1104" s="469"/>
      <c r="O1104" s="261"/>
      <c r="P1104" s="261"/>
      <c r="Q1104" s="263"/>
      <c r="S1104" s="88"/>
      <c r="T1104" s="88"/>
    </row>
    <row r="1105" spans="1:20" s="3" customFormat="1" ht="13.5" customHeight="1" thickBot="1">
      <c r="A1105" s="917"/>
      <c r="B1105" s="180">
        <v>8</v>
      </c>
      <c r="C1105" s="252"/>
      <c r="D1105" s="262"/>
      <c r="E1105" s="262"/>
      <c r="F1105" s="415"/>
      <c r="G1105" s="415"/>
      <c r="H1105" s="415"/>
      <c r="I1105" s="415"/>
      <c r="J1105" s="420"/>
      <c r="K1105" s="421"/>
      <c r="L1105" s="420"/>
      <c r="M1105" s="421"/>
      <c r="N1105" s="470"/>
      <c r="O1105" s="262"/>
      <c r="P1105" s="262"/>
      <c r="Q1105" s="264"/>
      <c r="S1105" s="88"/>
      <c r="T1105" s="88"/>
    </row>
    <row r="1106" spans="1:20" ht="11.25" customHeight="1">
      <c r="A1106" s="949" t="s">
        <v>29</v>
      </c>
      <c r="B1106" s="743">
        <v>1</v>
      </c>
      <c r="C1106" s="709" t="s">
        <v>850</v>
      </c>
      <c r="D1106" s="710">
        <v>20</v>
      </c>
      <c r="E1106" s="710">
        <v>1979</v>
      </c>
      <c r="F1106" s="712">
        <v>22.372</v>
      </c>
      <c r="G1106" s="712">
        <v>2.336</v>
      </c>
      <c r="H1106" s="712">
        <v>3.168</v>
      </c>
      <c r="I1106" s="711">
        <v>16.868</v>
      </c>
      <c r="J1106" s="713">
        <v>964.06</v>
      </c>
      <c r="K1106" s="712">
        <v>16.868</v>
      </c>
      <c r="L1106" s="713">
        <v>964.06</v>
      </c>
      <c r="M1106" s="714">
        <f aca="true" t="shared" si="171" ref="M1106:M1133">K1106/L1106</f>
        <v>0.01749683629649607</v>
      </c>
      <c r="N1106" s="744">
        <v>291.793</v>
      </c>
      <c r="O1106" s="716">
        <f aca="true" t="shared" si="172" ref="O1106:O1133">M1106*N1106</f>
        <v>5.105454353463478</v>
      </c>
      <c r="P1106" s="716">
        <f aca="true" t="shared" si="173" ref="P1106:P1133">M1106*60*1000</f>
        <v>1049.810177789764</v>
      </c>
      <c r="Q1106" s="717">
        <f aca="true" t="shared" si="174" ref="Q1106:Q1133">P1106*N1106/1000</f>
        <v>306.32726120780865</v>
      </c>
      <c r="R1106" s="3"/>
      <c r="S1106" s="88"/>
      <c r="T1106" s="88"/>
    </row>
    <row r="1107" spans="1:20" ht="12.75" customHeight="1">
      <c r="A1107" s="950"/>
      <c r="B1107" s="725">
        <v>2</v>
      </c>
      <c r="C1107" s="709" t="s">
        <v>295</v>
      </c>
      <c r="D1107" s="710">
        <v>40</v>
      </c>
      <c r="E1107" s="710">
        <v>1991</v>
      </c>
      <c r="F1107" s="711">
        <v>53.994</v>
      </c>
      <c r="G1107" s="711">
        <v>5.992</v>
      </c>
      <c r="H1107" s="711">
        <v>6.4</v>
      </c>
      <c r="I1107" s="711">
        <v>41.602</v>
      </c>
      <c r="J1107" s="719">
        <v>2268.53</v>
      </c>
      <c r="K1107" s="711">
        <v>41.602</v>
      </c>
      <c r="L1107" s="719">
        <v>2268.53</v>
      </c>
      <c r="M1107" s="714">
        <f t="shared" si="171"/>
        <v>0.01833874799980604</v>
      </c>
      <c r="N1107" s="711">
        <v>291.793</v>
      </c>
      <c r="O1107" s="716">
        <f t="shared" si="172"/>
        <v>5.351118295107404</v>
      </c>
      <c r="P1107" s="716">
        <f t="shared" si="173"/>
        <v>1100.3248799883622</v>
      </c>
      <c r="Q1107" s="717">
        <f t="shared" si="174"/>
        <v>321.0670977064442</v>
      </c>
      <c r="R1107" s="6"/>
      <c r="S1107" s="88"/>
      <c r="T1107" s="88"/>
    </row>
    <row r="1108" spans="1:20" ht="12.75" customHeight="1">
      <c r="A1108" s="950"/>
      <c r="B1108" s="725">
        <v>3</v>
      </c>
      <c r="C1108" s="709" t="s">
        <v>851</v>
      </c>
      <c r="D1108" s="710">
        <v>55</v>
      </c>
      <c r="E1108" s="710">
        <v>1985</v>
      </c>
      <c r="F1108" s="711">
        <v>64.793</v>
      </c>
      <c r="G1108" s="711">
        <v>5.999</v>
      </c>
      <c r="H1108" s="711">
        <v>8.8</v>
      </c>
      <c r="I1108" s="711">
        <v>49.994</v>
      </c>
      <c r="J1108" s="719">
        <v>2679.72</v>
      </c>
      <c r="K1108" s="711">
        <v>49.994</v>
      </c>
      <c r="L1108" s="719">
        <v>2679.72</v>
      </c>
      <c r="M1108" s="721">
        <f t="shared" si="171"/>
        <v>0.018656426790858747</v>
      </c>
      <c r="N1108" s="711">
        <v>291.793</v>
      </c>
      <c r="O1108" s="716">
        <f t="shared" si="172"/>
        <v>5.4438147425850465</v>
      </c>
      <c r="P1108" s="716">
        <f t="shared" si="173"/>
        <v>1119.3856074515247</v>
      </c>
      <c r="Q1108" s="722">
        <f t="shared" si="174"/>
        <v>326.62888455510273</v>
      </c>
      <c r="R1108" s="6"/>
      <c r="S1108" s="88"/>
      <c r="T1108" s="88"/>
    </row>
    <row r="1109" spans="1:20" ht="12.75" customHeight="1">
      <c r="A1109" s="950"/>
      <c r="B1109" s="725">
        <v>4</v>
      </c>
      <c r="C1109" s="709" t="s">
        <v>852</v>
      </c>
      <c r="D1109" s="710">
        <v>55</v>
      </c>
      <c r="E1109" s="710">
        <v>1984</v>
      </c>
      <c r="F1109" s="711">
        <v>67</v>
      </c>
      <c r="G1109" s="711">
        <v>5.394</v>
      </c>
      <c r="H1109" s="711">
        <v>8.8</v>
      </c>
      <c r="I1109" s="711">
        <v>51.853</v>
      </c>
      <c r="J1109" s="719">
        <v>2709.53</v>
      </c>
      <c r="K1109" s="711">
        <v>51.853</v>
      </c>
      <c r="L1109" s="719">
        <v>2660.67</v>
      </c>
      <c r="M1109" s="721">
        <f t="shared" si="171"/>
        <v>0.0194887002146076</v>
      </c>
      <c r="N1109" s="711">
        <v>291.793</v>
      </c>
      <c r="O1109" s="723">
        <f t="shared" si="172"/>
        <v>5.6866663017209955</v>
      </c>
      <c r="P1109" s="716">
        <f t="shared" si="173"/>
        <v>1169.322012876456</v>
      </c>
      <c r="Q1109" s="722">
        <f t="shared" si="174"/>
        <v>341.19997810325975</v>
      </c>
      <c r="R1109" s="6"/>
      <c r="S1109" s="88"/>
      <c r="T1109" s="88"/>
    </row>
    <row r="1110" spans="1:20" ht="12.75" customHeight="1">
      <c r="A1110" s="950"/>
      <c r="B1110" s="725">
        <v>5</v>
      </c>
      <c r="C1110" s="709" t="s">
        <v>853</v>
      </c>
      <c r="D1110" s="710">
        <v>20</v>
      </c>
      <c r="E1110" s="710">
        <v>1974</v>
      </c>
      <c r="F1110" s="711">
        <v>32.41</v>
      </c>
      <c r="G1110" s="711">
        <v>1.615</v>
      </c>
      <c r="H1110" s="711">
        <v>3.2</v>
      </c>
      <c r="I1110" s="711">
        <v>27.595</v>
      </c>
      <c r="J1110" s="719">
        <v>1410.72</v>
      </c>
      <c r="K1110" s="711">
        <v>27.595</v>
      </c>
      <c r="L1110" s="719">
        <v>1410.72</v>
      </c>
      <c r="M1110" s="721">
        <f t="shared" si="171"/>
        <v>0.01956093342406714</v>
      </c>
      <c r="N1110" s="711">
        <v>291.793</v>
      </c>
      <c r="O1110" s="723">
        <f t="shared" si="172"/>
        <v>5.7077434466088235</v>
      </c>
      <c r="P1110" s="716">
        <f t="shared" si="173"/>
        <v>1173.6560054440286</v>
      </c>
      <c r="Q1110" s="722">
        <f t="shared" si="174"/>
        <v>342.46460679652944</v>
      </c>
      <c r="R1110" s="6"/>
      <c r="S1110" s="88"/>
      <c r="T1110" s="88"/>
    </row>
    <row r="1111" spans="1:20" ht="12.75" customHeight="1">
      <c r="A1111" s="950"/>
      <c r="B1111" s="725">
        <v>6</v>
      </c>
      <c r="C1111" s="709" t="s">
        <v>477</v>
      </c>
      <c r="D1111" s="710">
        <v>5</v>
      </c>
      <c r="E1111" s="710">
        <v>1932</v>
      </c>
      <c r="F1111" s="711">
        <v>5.512</v>
      </c>
      <c r="G1111" s="711">
        <v>0.224</v>
      </c>
      <c r="H1111" s="711">
        <v>0.08</v>
      </c>
      <c r="I1111" s="711">
        <v>5.208</v>
      </c>
      <c r="J1111" s="719">
        <v>253.41</v>
      </c>
      <c r="K1111" s="711">
        <v>3.359</v>
      </c>
      <c r="L1111" s="719">
        <v>163.44</v>
      </c>
      <c r="M1111" s="721">
        <f t="shared" si="171"/>
        <v>0.020551884483602546</v>
      </c>
      <c r="N1111" s="711">
        <v>291.793</v>
      </c>
      <c r="O1111" s="723">
        <f t="shared" si="172"/>
        <v>5.996896029123838</v>
      </c>
      <c r="P1111" s="716">
        <f t="shared" si="173"/>
        <v>1233.1130690161526</v>
      </c>
      <c r="Q1111" s="722">
        <f t="shared" si="174"/>
        <v>359.81376174743025</v>
      </c>
      <c r="R1111" s="6"/>
      <c r="S1111" s="88"/>
      <c r="T1111" s="88"/>
    </row>
    <row r="1112" spans="1:20" ht="12.75" customHeight="1">
      <c r="A1112" s="950"/>
      <c r="B1112" s="725">
        <v>7</v>
      </c>
      <c r="C1112" s="709" t="s">
        <v>476</v>
      </c>
      <c r="D1112" s="710">
        <v>45</v>
      </c>
      <c r="E1112" s="710">
        <v>1976</v>
      </c>
      <c r="F1112" s="711">
        <v>59.507</v>
      </c>
      <c r="G1112" s="711">
        <v>4.33</v>
      </c>
      <c r="H1112" s="711">
        <v>7.2</v>
      </c>
      <c r="I1112" s="711">
        <v>47.977</v>
      </c>
      <c r="J1112" s="719">
        <v>2321.8</v>
      </c>
      <c r="K1112" s="711">
        <v>47.977</v>
      </c>
      <c r="L1112" s="719">
        <v>2321.8</v>
      </c>
      <c r="M1112" s="721">
        <f t="shared" si="171"/>
        <v>0.020663709191144797</v>
      </c>
      <c r="N1112" s="711">
        <v>291.793</v>
      </c>
      <c r="O1112" s="723">
        <f t="shared" si="172"/>
        <v>6.029525696011714</v>
      </c>
      <c r="P1112" s="716">
        <f t="shared" si="173"/>
        <v>1239.8225514686878</v>
      </c>
      <c r="Q1112" s="722">
        <f t="shared" si="174"/>
        <v>361.77154176070286</v>
      </c>
      <c r="R1112" s="6"/>
      <c r="S1112" s="88"/>
      <c r="T1112" s="88"/>
    </row>
    <row r="1113" spans="1:20" ht="12.75" customHeight="1">
      <c r="A1113" s="950"/>
      <c r="B1113" s="725">
        <v>8</v>
      </c>
      <c r="C1113" s="709" t="s">
        <v>854</v>
      </c>
      <c r="D1113" s="710">
        <v>12</v>
      </c>
      <c r="E1113" s="710">
        <v>1964</v>
      </c>
      <c r="F1113" s="711">
        <v>14.461</v>
      </c>
      <c r="G1113" s="711">
        <v>1.375</v>
      </c>
      <c r="H1113" s="711">
        <v>1.92</v>
      </c>
      <c r="I1113" s="711">
        <v>11.966</v>
      </c>
      <c r="J1113" s="719">
        <v>539.13</v>
      </c>
      <c r="K1113" s="711">
        <v>10.255</v>
      </c>
      <c r="L1113" s="719">
        <v>495.17</v>
      </c>
      <c r="M1113" s="721">
        <f t="shared" si="171"/>
        <v>0.020710059171597635</v>
      </c>
      <c r="N1113" s="711">
        <v>291.793</v>
      </c>
      <c r="O1113" s="723">
        <f t="shared" si="172"/>
        <v>6.043050295857989</v>
      </c>
      <c r="P1113" s="716">
        <f t="shared" si="173"/>
        <v>1242.6035502958582</v>
      </c>
      <c r="Q1113" s="722">
        <f t="shared" si="174"/>
        <v>362.58301775147936</v>
      </c>
      <c r="R1113" s="6"/>
      <c r="S1113" s="88"/>
      <c r="T1113" s="88"/>
    </row>
    <row r="1114" spans="1:20" ht="13.5" customHeight="1">
      <c r="A1114" s="950"/>
      <c r="B1114" s="725">
        <v>9</v>
      </c>
      <c r="C1114" s="709" t="s">
        <v>855</v>
      </c>
      <c r="D1114" s="710">
        <v>40</v>
      </c>
      <c r="E1114" s="710">
        <v>1981</v>
      </c>
      <c r="F1114" s="711">
        <v>47.981</v>
      </c>
      <c r="G1114" s="711">
        <v>3.731</v>
      </c>
      <c r="H1114" s="711">
        <v>1.616</v>
      </c>
      <c r="I1114" s="711">
        <v>42.634</v>
      </c>
      <c r="J1114" s="719">
        <v>2053.28</v>
      </c>
      <c r="K1114" s="711">
        <v>36.204</v>
      </c>
      <c r="L1114" s="719">
        <v>1743.66</v>
      </c>
      <c r="M1114" s="721">
        <f t="shared" si="171"/>
        <v>0.020763222187811844</v>
      </c>
      <c r="N1114" s="711">
        <v>291.793</v>
      </c>
      <c r="O1114" s="723">
        <f t="shared" si="172"/>
        <v>6.058562891848181</v>
      </c>
      <c r="P1114" s="716">
        <f t="shared" si="173"/>
        <v>1245.7933312687105</v>
      </c>
      <c r="Q1114" s="722">
        <f t="shared" si="174"/>
        <v>363.5137735108908</v>
      </c>
      <c r="R1114" s="6"/>
      <c r="S1114" s="88"/>
      <c r="T1114" s="88"/>
    </row>
    <row r="1115" spans="1:20" ht="13.5" customHeight="1" thickBot="1">
      <c r="A1115" s="951"/>
      <c r="B1115" s="734"/>
      <c r="C1115" s="745" t="s">
        <v>394</v>
      </c>
      <c r="D1115" s="746">
        <v>32</v>
      </c>
      <c r="E1115" s="746">
        <v>1986</v>
      </c>
      <c r="F1115" s="747">
        <v>45.045</v>
      </c>
      <c r="G1115" s="747">
        <v>3.243</v>
      </c>
      <c r="H1115" s="747">
        <v>4.8</v>
      </c>
      <c r="I1115" s="747">
        <v>37.002</v>
      </c>
      <c r="J1115" s="748">
        <v>1810.7</v>
      </c>
      <c r="K1115" s="747">
        <v>34.672</v>
      </c>
      <c r="L1115" s="748">
        <v>1666.74</v>
      </c>
      <c r="M1115" s="749">
        <f t="shared" si="171"/>
        <v>0.02080228469947322</v>
      </c>
      <c r="N1115" s="747">
        <v>291.793</v>
      </c>
      <c r="O1115" s="750">
        <f t="shared" si="172"/>
        <v>6.069961059313389</v>
      </c>
      <c r="P1115" s="750">
        <f t="shared" si="173"/>
        <v>1248.1370819683932</v>
      </c>
      <c r="Q1115" s="751">
        <f t="shared" si="174"/>
        <v>364.19766355880336</v>
      </c>
      <c r="R1115" s="6"/>
      <c r="S1115" s="88"/>
      <c r="T1115" s="88"/>
    </row>
    <row r="1116" spans="1:20" ht="12.75">
      <c r="A1116" s="963" t="s">
        <v>30</v>
      </c>
      <c r="B1116" s="32">
        <v>1</v>
      </c>
      <c r="C1116" s="215" t="s">
        <v>859</v>
      </c>
      <c r="D1116" s="217">
        <v>40</v>
      </c>
      <c r="E1116" s="217">
        <v>1980</v>
      </c>
      <c r="F1116" s="313">
        <v>59.044</v>
      </c>
      <c r="G1116" s="313">
        <v>3.109</v>
      </c>
      <c r="H1116" s="313">
        <v>6.24</v>
      </c>
      <c r="I1116" s="313">
        <v>49.695</v>
      </c>
      <c r="J1116" s="276">
        <v>1888.28</v>
      </c>
      <c r="K1116" s="313">
        <v>48.119</v>
      </c>
      <c r="L1116" s="390">
        <v>1782.62</v>
      </c>
      <c r="M1116" s="209">
        <f t="shared" si="171"/>
        <v>0.02699341418810515</v>
      </c>
      <c r="N1116" s="388">
        <v>291.793</v>
      </c>
      <c r="O1116" s="208">
        <f t="shared" si="172"/>
        <v>7.876489306189766</v>
      </c>
      <c r="P1116" s="208">
        <f t="shared" si="173"/>
        <v>1619.604851286309</v>
      </c>
      <c r="Q1116" s="210">
        <f t="shared" si="174"/>
        <v>472.58935837138597</v>
      </c>
      <c r="R1116" s="6"/>
      <c r="S1116" s="88"/>
      <c r="T1116" s="88"/>
    </row>
    <row r="1117" spans="1:20" ht="12.75">
      <c r="A1117" s="938"/>
      <c r="B1117" s="34">
        <v>2</v>
      </c>
      <c r="C1117" s="205" t="s">
        <v>858</v>
      </c>
      <c r="D1117" s="135">
        <v>5</v>
      </c>
      <c r="E1117" s="135">
        <v>1948</v>
      </c>
      <c r="F1117" s="222">
        <v>8.621</v>
      </c>
      <c r="G1117" s="222">
        <v>0.056</v>
      </c>
      <c r="H1117" s="222">
        <v>0.8</v>
      </c>
      <c r="I1117" s="222">
        <v>7.765</v>
      </c>
      <c r="J1117" s="277">
        <v>301.55</v>
      </c>
      <c r="K1117" s="222">
        <v>6.922</v>
      </c>
      <c r="L1117" s="277">
        <v>250.99</v>
      </c>
      <c r="M1117" s="146">
        <f t="shared" si="171"/>
        <v>0.027578787999521893</v>
      </c>
      <c r="N1117" s="222">
        <v>291.793</v>
      </c>
      <c r="O1117" s="148">
        <f t="shared" si="172"/>
        <v>8.047297286744492</v>
      </c>
      <c r="P1117" s="208">
        <f t="shared" si="173"/>
        <v>1654.7272799713135</v>
      </c>
      <c r="Q1117" s="149">
        <f t="shared" si="174"/>
        <v>482.8378372046695</v>
      </c>
      <c r="R1117" s="6"/>
      <c r="S1117" s="88"/>
      <c r="T1117" s="88"/>
    </row>
    <row r="1118" spans="1:20" ht="12.75">
      <c r="A1118" s="938"/>
      <c r="B1118" s="34">
        <v>3</v>
      </c>
      <c r="C1118" s="205" t="s">
        <v>857</v>
      </c>
      <c r="D1118" s="135">
        <v>40</v>
      </c>
      <c r="E1118" s="135">
        <v>1975</v>
      </c>
      <c r="F1118" s="222">
        <v>62.963</v>
      </c>
      <c r="G1118" s="222">
        <v>3.167</v>
      </c>
      <c r="H1118" s="222">
        <v>6.4</v>
      </c>
      <c r="I1118" s="222">
        <v>53.396</v>
      </c>
      <c r="J1118" s="277">
        <v>1928.43</v>
      </c>
      <c r="K1118" s="222">
        <v>53.396</v>
      </c>
      <c r="L1118" s="277">
        <v>1928.43</v>
      </c>
      <c r="M1118" s="146">
        <f t="shared" si="171"/>
        <v>0.027688845330139024</v>
      </c>
      <c r="N1118" s="222">
        <v>291.793</v>
      </c>
      <c r="O1118" s="148">
        <f t="shared" si="172"/>
        <v>8.079411245417257</v>
      </c>
      <c r="P1118" s="208">
        <f t="shared" si="173"/>
        <v>1661.3307198083414</v>
      </c>
      <c r="Q1118" s="149">
        <f t="shared" si="174"/>
        <v>484.7646747250354</v>
      </c>
      <c r="R1118" s="6"/>
      <c r="S1118" s="88"/>
      <c r="T1118" s="88"/>
    </row>
    <row r="1119" spans="1:20" ht="12.75">
      <c r="A1119" s="938"/>
      <c r="B1119" s="34">
        <v>4</v>
      </c>
      <c r="C1119" s="205" t="s">
        <v>478</v>
      </c>
      <c r="D1119" s="135">
        <v>8</v>
      </c>
      <c r="E1119" s="135">
        <v>1965</v>
      </c>
      <c r="F1119" s="222">
        <v>12.02</v>
      </c>
      <c r="G1119" s="222">
        <v>0.572</v>
      </c>
      <c r="H1119" s="222">
        <v>0.128</v>
      </c>
      <c r="I1119" s="222">
        <v>11.32</v>
      </c>
      <c r="J1119" s="277">
        <v>406.24</v>
      </c>
      <c r="K1119" s="222">
        <v>9.993</v>
      </c>
      <c r="L1119" s="277">
        <v>358.61</v>
      </c>
      <c r="M1119" s="146">
        <f t="shared" si="171"/>
        <v>0.027865926772817268</v>
      </c>
      <c r="N1119" s="222">
        <v>291.793</v>
      </c>
      <c r="O1119" s="148">
        <f t="shared" si="172"/>
        <v>8.13108237082067</v>
      </c>
      <c r="P1119" s="208">
        <f t="shared" si="173"/>
        <v>1671.9556063690359</v>
      </c>
      <c r="Q1119" s="149">
        <f t="shared" si="174"/>
        <v>487.86494224924013</v>
      </c>
      <c r="R1119" s="6"/>
      <c r="S1119" s="88"/>
      <c r="T1119" s="88"/>
    </row>
    <row r="1120" spans="1:20" ht="12.75">
      <c r="A1120" s="938"/>
      <c r="B1120" s="34">
        <v>5</v>
      </c>
      <c r="C1120" s="205" t="s">
        <v>299</v>
      </c>
      <c r="D1120" s="135">
        <v>6</v>
      </c>
      <c r="E1120" s="135">
        <v>1947</v>
      </c>
      <c r="F1120" s="222">
        <v>6.063</v>
      </c>
      <c r="G1120" s="222">
        <v>0.392</v>
      </c>
      <c r="H1120" s="222">
        <v>0.08</v>
      </c>
      <c r="I1120" s="222">
        <v>5.591</v>
      </c>
      <c r="J1120" s="277">
        <v>198.86</v>
      </c>
      <c r="K1120" s="222">
        <v>3.241</v>
      </c>
      <c r="L1120" s="277">
        <v>115.27</v>
      </c>
      <c r="M1120" s="146">
        <f t="shared" si="171"/>
        <v>0.028116595818513057</v>
      </c>
      <c r="N1120" s="222">
        <v>291.793</v>
      </c>
      <c r="O1120" s="148">
        <f t="shared" si="172"/>
        <v>8.20422584367138</v>
      </c>
      <c r="P1120" s="208">
        <f t="shared" si="173"/>
        <v>1686.9957491107834</v>
      </c>
      <c r="Q1120" s="149">
        <f t="shared" si="174"/>
        <v>492.25355062028285</v>
      </c>
      <c r="R1120" s="6"/>
      <c r="S1120" s="88"/>
      <c r="T1120" s="88"/>
    </row>
    <row r="1121" spans="1:20" ht="12.75">
      <c r="A1121" s="938"/>
      <c r="B1121" s="34">
        <v>6</v>
      </c>
      <c r="C1121" s="205" t="s">
        <v>298</v>
      </c>
      <c r="D1121" s="135">
        <v>12</v>
      </c>
      <c r="E1121" s="135">
        <v>1965</v>
      </c>
      <c r="F1121" s="222">
        <v>16.928</v>
      </c>
      <c r="G1121" s="222">
        <v>1.092</v>
      </c>
      <c r="H1121" s="222">
        <v>0.192</v>
      </c>
      <c r="I1121" s="222">
        <v>15.644</v>
      </c>
      <c r="J1121" s="277">
        <v>529.58</v>
      </c>
      <c r="K1121" s="222">
        <v>14.179</v>
      </c>
      <c r="L1121" s="277">
        <v>479.98</v>
      </c>
      <c r="M1121" s="146">
        <f t="shared" si="171"/>
        <v>0.02954081420059169</v>
      </c>
      <c r="N1121" s="222">
        <v>291.793</v>
      </c>
      <c r="O1121" s="148">
        <f t="shared" si="172"/>
        <v>8.619802798033252</v>
      </c>
      <c r="P1121" s="208">
        <f t="shared" si="173"/>
        <v>1772.4488520355014</v>
      </c>
      <c r="Q1121" s="149">
        <f t="shared" si="174"/>
        <v>517.1881678819951</v>
      </c>
      <c r="R1121" s="6"/>
      <c r="S1121" s="88"/>
      <c r="T1121" s="88"/>
    </row>
    <row r="1122" spans="1:20" ht="12.75">
      <c r="A1122" s="938"/>
      <c r="B1122" s="34">
        <v>7</v>
      </c>
      <c r="C1122" s="205" t="s">
        <v>287</v>
      </c>
      <c r="D1122" s="135">
        <v>9</v>
      </c>
      <c r="E1122" s="135">
        <v>1967</v>
      </c>
      <c r="F1122" s="222">
        <v>13.216</v>
      </c>
      <c r="G1122" s="222">
        <v>0.748</v>
      </c>
      <c r="H1122" s="222">
        <v>0.144</v>
      </c>
      <c r="I1122" s="222">
        <v>12.324</v>
      </c>
      <c r="J1122" s="277">
        <v>416.33</v>
      </c>
      <c r="K1122" s="222">
        <v>12.324</v>
      </c>
      <c r="L1122" s="277">
        <v>416.33</v>
      </c>
      <c r="M1122" s="146">
        <f t="shared" si="171"/>
        <v>0.029601518026565465</v>
      </c>
      <c r="N1122" s="222">
        <v>291.793</v>
      </c>
      <c r="O1122" s="148">
        <f t="shared" si="172"/>
        <v>8.637515749525617</v>
      </c>
      <c r="P1122" s="208">
        <f t="shared" si="173"/>
        <v>1776.0910815939278</v>
      </c>
      <c r="Q1122" s="149">
        <f t="shared" si="174"/>
        <v>518.250944971537</v>
      </c>
      <c r="R1122" s="6"/>
      <c r="S1122" s="88"/>
      <c r="T1122" s="88"/>
    </row>
    <row r="1123" spans="1:20" ht="12.75">
      <c r="A1123" s="938"/>
      <c r="B1123" s="34">
        <v>8</v>
      </c>
      <c r="C1123" s="205" t="s">
        <v>856</v>
      </c>
      <c r="D1123" s="135">
        <v>45</v>
      </c>
      <c r="E1123" s="135">
        <v>1977</v>
      </c>
      <c r="F1123" s="222">
        <v>71.544</v>
      </c>
      <c r="G1123" s="222">
        <v>4.062</v>
      </c>
      <c r="H1123" s="222">
        <v>7.2</v>
      </c>
      <c r="I1123" s="222">
        <v>60.282</v>
      </c>
      <c r="J1123" s="277">
        <v>2035.18</v>
      </c>
      <c r="K1123" s="222">
        <v>60.282</v>
      </c>
      <c r="L1123" s="277">
        <v>2035.18</v>
      </c>
      <c r="M1123" s="146">
        <f t="shared" si="171"/>
        <v>0.029619984473117856</v>
      </c>
      <c r="N1123" s="222">
        <v>291.793</v>
      </c>
      <c r="O1123" s="148">
        <f t="shared" si="172"/>
        <v>8.642904129364478</v>
      </c>
      <c r="P1123" s="208">
        <f t="shared" si="173"/>
        <v>1777.1990683870713</v>
      </c>
      <c r="Q1123" s="149">
        <f t="shared" si="174"/>
        <v>518.5742477618687</v>
      </c>
      <c r="R1123" s="6"/>
      <c r="S1123" s="88"/>
      <c r="T1123" s="88"/>
    </row>
    <row r="1124" spans="1:20" ht="12.75">
      <c r="A1124" s="939"/>
      <c r="B1124" s="75">
        <v>9</v>
      </c>
      <c r="C1124" s="205" t="s">
        <v>297</v>
      </c>
      <c r="D1124" s="135">
        <v>8</v>
      </c>
      <c r="E1124" s="135">
        <v>1962</v>
      </c>
      <c r="F1124" s="222">
        <v>13.24</v>
      </c>
      <c r="G1124" s="222">
        <v>1.232</v>
      </c>
      <c r="H1124" s="222">
        <v>1.28</v>
      </c>
      <c r="I1124" s="222">
        <v>10.728</v>
      </c>
      <c r="J1124" s="277">
        <v>372.35</v>
      </c>
      <c r="K1124" s="222">
        <v>8.218</v>
      </c>
      <c r="L1124" s="277">
        <v>273.55</v>
      </c>
      <c r="M1124" s="146">
        <f t="shared" si="171"/>
        <v>0.030042039846463166</v>
      </c>
      <c r="N1124" s="222">
        <v>291.793</v>
      </c>
      <c r="O1124" s="148">
        <f t="shared" si="172"/>
        <v>8.766056932919026</v>
      </c>
      <c r="P1124" s="208">
        <f t="shared" si="173"/>
        <v>1802.52239078779</v>
      </c>
      <c r="Q1124" s="149">
        <f t="shared" si="174"/>
        <v>525.9634159751417</v>
      </c>
      <c r="R1124" s="6"/>
      <c r="S1124" s="88"/>
      <c r="T1124" s="88"/>
    </row>
    <row r="1125" spans="1:20" ht="13.5" thickBot="1">
      <c r="A1125" s="940"/>
      <c r="B1125" s="36">
        <v>10</v>
      </c>
      <c r="C1125" s="500" t="s">
        <v>302</v>
      </c>
      <c r="D1125" s="136">
        <v>2</v>
      </c>
      <c r="E1125" s="136">
        <v>1950</v>
      </c>
      <c r="F1125" s="312">
        <v>3.902</v>
      </c>
      <c r="G1125" s="312"/>
      <c r="H1125" s="312"/>
      <c r="I1125" s="312">
        <v>3.902</v>
      </c>
      <c r="J1125" s="278">
        <v>126.73</v>
      </c>
      <c r="K1125" s="312">
        <v>1.984</v>
      </c>
      <c r="L1125" s="278">
        <v>65.63</v>
      </c>
      <c r="M1125" s="211">
        <f t="shared" si="171"/>
        <v>0.03023007770836508</v>
      </c>
      <c r="N1125" s="312">
        <v>291.793</v>
      </c>
      <c r="O1125" s="212">
        <f t="shared" si="172"/>
        <v>8.820925064756972</v>
      </c>
      <c r="P1125" s="212">
        <f t="shared" si="173"/>
        <v>1813.8046625019049</v>
      </c>
      <c r="Q1125" s="213">
        <f t="shared" si="174"/>
        <v>529.2555038854183</v>
      </c>
      <c r="R1125" s="6"/>
      <c r="S1125" s="88"/>
      <c r="T1125" s="88"/>
    </row>
    <row r="1126" spans="1:20" ht="12.75">
      <c r="A1126" s="964" t="s">
        <v>12</v>
      </c>
      <c r="B1126" s="39">
        <v>1</v>
      </c>
      <c r="C1126" s="166" t="s">
        <v>395</v>
      </c>
      <c r="D1126" s="167">
        <v>12</v>
      </c>
      <c r="E1126" s="167">
        <v>1965</v>
      </c>
      <c r="F1126" s="250">
        <v>17.969</v>
      </c>
      <c r="G1126" s="250">
        <v>1.4</v>
      </c>
      <c r="H1126" s="250">
        <v>0.192</v>
      </c>
      <c r="I1126" s="250">
        <v>16.377</v>
      </c>
      <c r="J1126" s="274">
        <v>537.55</v>
      </c>
      <c r="K1126" s="250">
        <v>15.087</v>
      </c>
      <c r="L1126" s="391">
        <v>495.2</v>
      </c>
      <c r="M1126" s="170">
        <f t="shared" si="171"/>
        <v>0.030466478190630048</v>
      </c>
      <c r="N1126" s="389">
        <v>291.793</v>
      </c>
      <c r="O1126" s="171">
        <f t="shared" si="172"/>
        <v>8.889905070678514</v>
      </c>
      <c r="P1126" s="171">
        <f t="shared" si="173"/>
        <v>1827.988691437803</v>
      </c>
      <c r="Q1126" s="172">
        <f t="shared" si="174"/>
        <v>533.3943042407109</v>
      </c>
      <c r="R1126" s="6"/>
      <c r="S1126" s="88"/>
      <c r="T1126" s="88"/>
    </row>
    <row r="1127" spans="1:20" ht="12.75">
      <c r="A1127" s="965"/>
      <c r="B1127" s="41">
        <v>2</v>
      </c>
      <c r="C1127" s="169" t="s">
        <v>303</v>
      </c>
      <c r="D1127" s="137">
        <v>5</v>
      </c>
      <c r="E1127" s="137">
        <v>1986</v>
      </c>
      <c r="F1127" s="218">
        <v>12.613</v>
      </c>
      <c r="G1127" s="218"/>
      <c r="H1127" s="218"/>
      <c r="I1127" s="218">
        <v>12.613</v>
      </c>
      <c r="J1127" s="275">
        <v>405.48</v>
      </c>
      <c r="K1127" s="218">
        <v>5.87</v>
      </c>
      <c r="L1127" s="275">
        <v>191.49</v>
      </c>
      <c r="M1127" s="150">
        <f t="shared" si="171"/>
        <v>0.030654342263303568</v>
      </c>
      <c r="N1127" s="218">
        <v>291.793</v>
      </c>
      <c r="O1127" s="152">
        <f t="shared" si="172"/>
        <v>8.944722492036139</v>
      </c>
      <c r="P1127" s="171">
        <f t="shared" si="173"/>
        <v>1839.260535798214</v>
      </c>
      <c r="Q1127" s="153">
        <f t="shared" si="174"/>
        <v>536.6833495221683</v>
      </c>
      <c r="R1127" s="6"/>
      <c r="S1127" s="88"/>
      <c r="T1127" s="88"/>
    </row>
    <row r="1128" spans="1:20" ht="12.75">
      <c r="A1128" s="965"/>
      <c r="B1128" s="41">
        <v>3</v>
      </c>
      <c r="C1128" s="169" t="s">
        <v>296</v>
      </c>
      <c r="D1128" s="137">
        <v>5</v>
      </c>
      <c r="E1128" s="137">
        <v>1984</v>
      </c>
      <c r="F1128" s="218">
        <v>5.683</v>
      </c>
      <c r="G1128" s="218">
        <v>0.056</v>
      </c>
      <c r="H1128" s="218">
        <v>0.08</v>
      </c>
      <c r="I1128" s="218">
        <v>5.547</v>
      </c>
      <c r="J1128" s="275">
        <v>180.46</v>
      </c>
      <c r="K1128" s="218">
        <v>5.547</v>
      </c>
      <c r="L1128" s="275">
        <v>180.46</v>
      </c>
      <c r="M1128" s="150">
        <f t="shared" si="171"/>
        <v>0.030738113709409286</v>
      </c>
      <c r="N1128" s="218">
        <v>291.793</v>
      </c>
      <c r="O1128" s="152">
        <f t="shared" si="172"/>
        <v>8.969166413609663</v>
      </c>
      <c r="P1128" s="171">
        <f t="shared" si="173"/>
        <v>1844.2868225645573</v>
      </c>
      <c r="Q1128" s="153">
        <f t="shared" si="174"/>
        <v>538.1499848165798</v>
      </c>
      <c r="R1128" s="6"/>
      <c r="S1128" s="88"/>
      <c r="T1128" s="88"/>
    </row>
    <row r="1129" spans="1:20" ht="12.75">
      <c r="A1129" s="965"/>
      <c r="B1129" s="41">
        <v>4</v>
      </c>
      <c r="C1129" s="169" t="s">
        <v>294</v>
      </c>
      <c r="D1129" s="137">
        <v>6</v>
      </c>
      <c r="E1129" s="137">
        <v>1934</v>
      </c>
      <c r="F1129" s="218">
        <v>7.997</v>
      </c>
      <c r="G1129" s="218">
        <v>0.616</v>
      </c>
      <c r="H1129" s="218">
        <v>0.096</v>
      </c>
      <c r="I1129" s="218">
        <v>7.285</v>
      </c>
      <c r="J1129" s="275">
        <v>229.18</v>
      </c>
      <c r="K1129" s="218">
        <v>7.285</v>
      </c>
      <c r="L1129" s="275">
        <v>229.18</v>
      </c>
      <c r="M1129" s="150">
        <f t="shared" si="171"/>
        <v>0.031787241469587224</v>
      </c>
      <c r="N1129" s="218">
        <v>291.793</v>
      </c>
      <c r="O1129" s="152">
        <f t="shared" si="172"/>
        <v>9.275294550135266</v>
      </c>
      <c r="P1129" s="171">
        <f t="shared" si="173"/>
        <v>1907.2344881752335</v>
      </c>
      <c r="Q1129" s="153">
        <f t="shared" si="174"/>
        <v>556.5176730081159</v>
      </c>
      <c r="R1129" s="6"/>
      <c r="S1129" s="88"/>
      <c r="T1129" s="88"/>
    </row>
    <row r="1130" spans="1:20" ht="12.75">
      <c r="A1130" s="965"/>
      <c r="B1130" s="41">
        <v>5</v>
      </c>
      <c r="C1130" s="169" t="s">
        <v>305</v>
      </c>
      <c r="D1130" s="137">
        <v>6</v>
      </c>
      <c r="E1130" s="137">
        <v>1985</v>
      </c>
      <c r="F1130" s="218">
        <v>8.815</v>
      </c>
      <c r="G1130" s="218">
        <v>0.28</v>
      </c>
      <c r="H1130" s="218">
        <v>0.96</v>
      </c>
      <c r="I1130" s="218">
        <v>7.575</v>
      </c>
      <c r="J1130" s="275">
        <v>230.55</v>
      </c>
      <c r="K1130" s="218">
        <v>7.575</v>
      </c>
      <c r="L1130" s="275">
        <v>230.55</v>
      </c>
      <c r="M1130" s="150">
        <f t="shared" si="171"/>
        <v>0.03285621340273259</v>
      </c>
      <c r="N1130" s="218">
        <v>291.793</v>
      </c>
      <c r="O1130" s="152">
        <f t="shared" si="172"/>
        <v>9.587213077423552</v>
      </c>
      <c r="P1130" s="171">
        <f t="shared" si="173"/>
        <v>1971.3728041639556</v>
      </c>
      <c r="Q1130" s="153">
        <f t="shared" si="174"/>
        <v>575.2327846454132</v>
      </c>
      <c r="R1130" s="6"/>
      <c r="S1130" s="88"/>
      <c r="T1130" s="88"/>
    </row>
    <row r="1131" spans="1:20" ht="12.75">
      <c r="A1131" s="965"/>
      <c r="B1131" s="41">
        <v>6</v>
      </c>
      <c r="C1131" s="169" t="s">
        <v>301</v>
      </c>
      <c r="D1131" s="137">
        <v>8</v>
      </c>
      <c r="E1131" s="137">
        <v>1936</v>
      </c>
      <c r="F1131" s="218">
        <v>7.451</v>
      </c>
      <c r="G1131" s="218">
        <v>0.64</v>
      </c>
      <c r="H1131" s="218">
        <v>0.272</v>
      </c>
      <c r="I1131" s="218">
        <v>6.539</v>
      </c>
      <c r="J1131" s="275">
        <v>192.55</v>
      </c>
      <c r="K1131" s="218">
        <v>6.539</v>
      </c>
      <c r="L1131" s="275">
        <v>192.55</v>
      </c>
      <c r="M1131" s="150">
        <f t="shared" si="171"/>
        <v>0.03396001038691249</v>
      </c>
      <c r="N1131" s="218">
        <v>291.793</v>
      </c>
      <c r="O1131" s="152">
        <f t="shared" si="172"/>
        <v>9.909293310828355</v>
      </c>
      <c r="P1131" s="171">
        <f t="shared" si="173"/>
        <v>2037.6006232147495</v>
      </c>
      <c r="Q1131" s="153">
        <f t="shared" si="174"/>
        <v>594.5575986497015</v>
      </c>
      <c r="R1131" s="6"/>
      <c r="S1131" s="88"/>
      <c r="T1131" s="88"/>
    </row>
    <row r="1132" spans="1:20" ht="12.75">
      <c r="A1132" s="965"/>
      <c r="B1132" s="41">
        <v>7</v>
      </c>
      <c r="C1132" s="169" t="s">
        <v>300</v>
      </c>
      <c r="D1132" s="137">
        <v>6</v>
      </c>
      <c r="E1132" s="137">
        <v>1957</v>
      </c>
      <c r="F1132" s="218">
        <v>13.344</v>
      </c>
      <c r="G1132" s="218">
        <v>0.728</v>
      </c>
      <c r="H1132" s="218">
        <v>0.08</v>
      </c>
      <c r="I1132" s="218">
        <v>12.536</v>
      </c>
      <c r="J1132" s="275">
        <v>319.78</v>
      </c>
      <c r="K1132" s="218">
        <v>12.536</v>
      </c>
      <c r="L1132" s="275">
        <v>319.78</v>
      </c>
      <c r="M1132" s="150">
        <f t="shared" si="171"/>
        <v>0.03920195134154732</v>
      </c>
      <c r="N1132" s="218">
        <v>291.793</v>
      </c>
      <c r="O1132" s="152">
        <f t="shared" si="172"/>
        <v>11.438854987804117</v>
      </c>
      <c r="P1132" s="171">
        <f t="shared" si="173"/>
        <v>2352.117080492839</v>
      </c>
      <c r="Q1132" s="153">
        <f t="shared" si="174"/>
        <v>686.331299268247</v>
      </c>
      <c r="R1132" s="6"/>
      <c r="S1132" s="88"/>
      <c r="T1132" s="88"/>
    </row>
    <row r="1133" spans="1:20" ht="12.75">
      <c r="A1133" s="965"/>
      <c r="B1133" s="41">
        <v>8</v>
      </c>
      <c r="C1133" s="169" t="s">
        <v>304</v>
      </c>
      <c r="D1133" s="137">
        <v>6</v>
      </c>
      <c r="E1133" s="137">
        <v>1958</v>
      </c>
      <c r="F1133" s="218">
        <v>6.904</v>
      </c>
      <c r="G1133" s="218">
        <v>0.272</v>
      </c>
      <c r="H1133" s="218">
        <v>0.48</v>
      </c>
      <c r="I1133" s="218">
        <v>6.152</v>
      </c>
      <c r="J1133" s="275">
        <v>318.54</v>
      </c>
      <c r="K1133" s="218">
        <v>4.011</v>
      </c>
      <c r="L1133" s="275">
        <v>92.5</v>
      </c>
      <c r="M1133" s="150">
        <f t="shared" si="171"/>
        <v>0.04336216216216216</v>
      </c>
      <c r="N1133" s="218">
        <v>291.793</v>
      </c>
      <c r="O1133" s="152">
        <f t="shared" si="172"/>
        <v>12.652775383783784</v>
      </c>
      <c r="P1133" s="171">
        <f t="shared" si="173"/>
        <v>2601.7297297297296</v>
      </c>
      <c r="Q1133" s="153">
        <f t="shared" si="174"/>
        <v>759.166523027027</v>
      </c>
      <c r="R1133" s="6"/>
      <c r="S1133" s="88"/>
      <c r="T1133" s="88"/>
    </row>
    <row r="1134" spans="1:20" ht="12.75">
      <c r="A1134" s="965"/>
      <c r="B1134" s="41">
        <v>9</v>
      </c>
      <c r="C1134" s="169"/>
      <c r="D1134" s="137"/>
      <c r="E1134" s="137"/>
      <c r="F1134" s="528"/>
      <c r="G1134" s="528"/>
      <c r="H1134" s="528"/>
      <c r="I1134" s="528"/>
      <c r="J1134" s="471"/>
      <c r="K1134" s="218"/>
      <c r="L1134" s="275"/>
      <c r="M1134" s="150"/>
      <c r="N1134" s="218"/>
      <c r="O1134" s="152"/>
      <c r="P1134" s="171"/>
      <c r="Q1134" s="153"/>
      <c r="R1134" s="6"/>
      <c r="S1134" s="88"/>
      <c r="T1134" s="88"/>
    </row>
    <row r="1135" spans="1:20" ht="13.5" thickBot="1">
      <c r="A1135" s="966"/>
      <c r="B1135" s="45">
        <v>10</v>
      </c>
      <c r="C1135" s="169"/>
      <c r="D1135" s="137"/>
      <c r="E1135" s="137"/>
      <c r="F1135" s="218"/>
      <c r="G1135" s="218"/>
      <c r="H1135" s="218"/>
      <c r="I1135" s="218"/>
      <c r="J1135" s="275"/>
      <c r="K1135" s="218"/>
      <c r="L1135" s="218"/>
      <c r="M1135" s="150"/>
      <c r="N1135" s="151"/>
      <c r="O1135" s="152"/>
      <c r="P1135" s="171"/>
      <c r="Q1135" s="153"/>
      <c r="R1135" s="6"/>
      <c r="S1135" s="88"/>
      <c r="T1135" s="88"/>
    </row>
    <row r="1136" spans="19:20" ht="12.75">
      <c r="S1136" s="88"/>
      <c r="T1136" s="88"/>
    </row>
    <row r="1137" spans="19:20" ht="12.75">
      <c r="S1137" s="88"/>
      <c r="T1137" s="88"/>
    </row>
    <row r="1138" spans="19:20" ht="12.75">
      <c r="S1138" s="88"/>
      <c r="T1138" s="88"/>
    </row>
    <row r="1139" spans="19:20" ht="12.75">
      <c r="S1139" s="88"/>
      <c r="T1139" s="88"/>
    </row>
    <row r="1140" spans="1:20" ht="15">
      <c r="A1140" s="967" t="s">
        <v>49</v>
      </c>
      <c r="B1140" s="967"/>
      <c r="C1140" s="967"/>
      <c r="D1140" s="967"/>
      <c r="E1140" s="967"/>
      <c r="F1140" s="967"/>
      <c r="G1140" s="967"/>
      <c r="H1140" s="967"/>
      <c r="I1140" s="967"/>
      <c r="J1140" s="967"/>
      <c r="K1140" s="967"/>
      <c r="L1140" s="967"/>
      <c r="M1140" s="967"/>
      <c r="N1140" s="967"/>
      <c r="O1140" s="967"/>
      <c r="P1140" s="967"/>
      <c r="Q1140" s="967"/>
      <c r="S1140" s="88"/>
      <c r="T1140" s="88"/>
    </row>
    <row r="1141" spans="1:20" ht="13.5" thickBot="1">
      <c r="A1141" s="968" t="s">
        <v>869</v>
      </c>
      <c r="B1141" s="968"/>
      <c r="C1141" s="968"/>
      <c r="D1141" s="968"/>
      <c r="E1141" s="968"/>
      <c r="F1141" s="968"/>
      <c r="G1141" s="968"/>
      <c r="H1141" s="968"/>
      <c r="I1141" s="968"/>
      <c r="J1141" s="968"/>
      <c r="K1141" s="968"/>
      <c r="L1141" s="968"/>
      <c r="M1141" s="968"/>
      <c r="N1141" s="968"/>
      <c r="O1141" s="968"/>
      <c r="P1141" s="968"/>
      <c r="Q1141" s="968"/>
      <c r="S1141" s="88"/>
      <c r="T1141" s="88"/>
    </row>
    <row r="1142" spans="1:20" ht="12.75" customHeight="1">
      <c r="A1142" s="952" t="s">
        <v>1</v>
      </c>
      <c r="B1142" s="955" t="s">
        <v>0</v>
      </c>
      <c r="C1142" s="944" t="s">
        <v>2</v>
      </c>
      <c r="D1142" s="944" t="s">
        <v>3</v>
      </c>
      <c r="E1142" s="944" t="s">
        <v>13</v>
      </c>
      <c r="F1142" s="960" t="s">
        <v>14</v>
      </c>
      <c r="G1142" s="961"/>
      <c r="H1142" s="961"/>
      <c r="I1142" s="962"/>
      <c r="J1142" s="944" t="s">
        <v>4</v>
      </c>
      <c r="K1142" s="944" t="s">
        <v>15</v>
      </c>
      <c r="L1142" s="944" t="s">
        <v>5</v>
      </c>
      <c r="M1142" s="944" t="s">
        <v>6</v>
      </c>
      <c r="N1142" s="944" t="s">
        <v>16</v>
      </c>
      <c r="O1142" s="969" t="s">
        <v>17</v>
      </c>
      <c r="P1142" s="944" t="s">
        <v>25</v>
      </c>
      <c r="Q1142" s="929" t="s">
        <v>26</v>
      </c>
      <c r="S1142" s="88"/>
      <c r="T1142" s="88"/>
    </row>
    <row r="1143" spans="1:20" s="2" customFormat="1" ht="33.75">
      <c r="A1143" s="953"/>
      <c r="B1143" s="956"/>
      <c r="C1143" s="958"/>
      <c r="D1143" s="945"/>
      <c r="E1143" s="945"/>
      <c r="F1143" s="37" t="s">
        <v>18</v>
      </c>
      <c r="G1143" s="37" t="s">
        <v>19</v>
      </c>
      <c r="H1143" s="37" t="s">
        <v>20</v>
      </c>
      <c r="I1143" s="37" t="s">
        <v>21</v>
      </c>
      <c r="J1143" s="945"/>
      <c r="K1143" s="945"/>
      <c r="L1143" s="945"/>
      <c r="M1143" s="945"/>
      <c r="N1143" s="945"/>
      <c r="O1143" s="970"/>
      <c r="P1143" s="945"/>
      <c r="Q1143" s="930"/>
      <c r="R1143" s="1"/>
      <c r="S1143" s="88"/>
      <c r="T1143" s="88"/>
    </row>
    <row r="1144" spans="1:20" s="3" customFormat="1" ht="13.5" customHeight="1" thickBot="1">
      <c r="A1144" s="954"/>
      <c r="B1144" s="957"/>
      <c r="C1144" s="959"/>
      <c r="D1144" s="58" t="s">
        <v>7</v>
      </c>
      <c r="E1144" s="58" t="s">
        <v>8</v>
      </c>
      <c r="F1144" s="58" t="s">
        <v>9</v>
      </c>
      <c r="G1144" s="58" t="s">
        <v>9</v>
      </c>
      <c r="H1144" s="58" t="s">
        <v>9</v>
      </c>
      <c r="I1144" s="58" t="s">
        <v>9</v>
      </c>
      <c r="J1144" s="58" t="s">
        <v>22</v>
      </c>
      <c r="K1144" s="58" t="s">
        <v>9</v>
      </c>
      <c r="L1144" s="58" t="s">
        <v>22</v>
      </c>
      <c r="M1144" s="58" t="s">
        <v>23</v>
      </c>
      <c r="N1144" s="58" t="s">
        <v>10</v>
      </c>
      <c r="O1144" s="58" t="s">
        <v>24</v>
      </c>
      <c r="P1144" s="59" t="s">
        <v>27</v>
      </c>
      <c r="Q1144" s="60" t="s">
        <v>28</v>
      </c>
      <c r="R1144" s="2"/>
      <c r="S1144" s="88"/>
      <c r="T1144" s="88"/>
    </row>
    <row r="1145" spans="1:20" ht="12.75">
      <c r="A1145" s="963" t="s">
        <v>30</v>
      </c>
      <c r="B1145" s="32">
        <v>1</v>
      </c>
      <c r="C1145" s="215" t="s">
        <v>860</v>
      </c>
      <c r="D1145" s="217">
        <v>40</v>
      </c>
      <c r="E1145" s="217">
        <v>1991</v>
      </c>
      <c r="F1145" s="313">
        <v>53.677</v>
      </c>
      <c r="G1145" s="313">
        <v>3.883752</v>
      </c>
      <c r="H1145" s="313">
        <v>6.08</v>
      </c>
      <c r="I1145" s="313">
        <v>43.713</v>
      </c>
      <c r="J1145" s="276">
        <v>2184.04</v>
      </c>
      <c r="K1145" s="313">
        <v>43.7</v>
      </c>
      <c r="L1145" s="390">
        <v>2184</v>
      </c>
      <c r="M1145" s="209">
        <f aca="true" t="shared" si="175" ref="M1145:M1152">K1145/L1145</f>
        <v>0.02000915750915751</v>
      </c>
      <c r="N1145" s="220">
        <v>220.83</v>
      </c>
      <c r="O1145" s="208">
        <f aca="true" t="shared" si="176" ref="O1145:O1152">M1145*N1145</f>
        <v>4.418622252747253</v>
      </c>
      <c r="P1145" s="208">
        <f aca="true" t="shared" si="177" ref="P1145:P1152">M1145*60*1000</f>
        <v>1200.5494505494507</v>
      </c>
      <c r="Q1145" s="210">
        <f aca="true" t="shared" si="178" ref="Q1145:Q1152">P1145*N1145/1000</f>
        <v>265.1173351648352</v>
      </c>
      <c r="R1145" s="3"/>
      <c r="S1145" s="88"/>
      <c r="T1145" s="88"/>
    </row>
    <row r="1146" spans="1:20" ht="12.75">
      <c r="A1146" s="1087"/>
      <c r="B1146" s="34">
        <v>2</v>
      </c>
      <c r="C1146" s="205" t="s">
        <v>861</v>
      </c>
      <c r="D1146" s="135">
        <v>40</v>
      </c>
      <c r="E1146" s="135">
        <v>1981</v>
      </c>
      <c r="F1146" s="222">
        <v>59.15</v>
      </c>
      <c r="G1146" s="222">
        <v>4.896</v>
      </c>
      <c r="H1146" s="222">
        <v>6.4</v>
      </c>
      <c r="I1146" s="222">
        <v>47.85399</v>
      </c>
      <c r="J1146" s="277">
        <v>2247.63</v>
      </c>
      <c r="K1146" s="222">
        <v>47.9</v>
      </c>
      <c r="L1146" s="277">
        <v>2247.6</v>
      </c>
      <c r="M1146" s="146">
        <f t="shared" si="175"/>
        <v>0.021311621284926145</v>
      </c>
      <c r="N1146" s="147">
        <v>220.83</v>
      </c>
      <c r="O1146" s="148">
        <f t="shared" si="176"/>
        <v>4.70624532835024</v>
      </c>
      <c r="P1146" s="208">
        <f t="shared" si="177"/>
        <v>1278.6972770955688</v>
      </c>
      <c r="Q1146" s="149">
        <f t="shared" si="178"/>
        <v>282.37471970101444</v>
      </c>
      <c r="R1146" s="3"/>
      <c r="S1146" s="88"/>
      <c r="T1146" s="88"/>
    </row>
    <row r="1147" spans="1:20" ht="12.75">
      <c r="A1147" s="1087"/>
      <c r="B1147" s="34">
        <v>3</v>
      </c>
      <c r="C1147" s="205" t="s">
        <v>862</v>
      </c>
      <c r="D1147" s="135">
        <v>36</v>
      </c>
      <c r="E1147" s="135">
        <v>1968</v>
      </c>
      <c r="F1147" s="222">
        <v>39.294</v>
      </c>
      <c r="G1147" s="222">
        <v>1.887</v>
      </c>
      <c r="H1147" s="222">
        <v>5.6</v>
      </c>
      <c r="I1147" s="222">
        <v>31.806997</v>
      </c>
      <c r="J1147" s="277">
        <v>1464.82</v>
      </c>
      <c r="K1147" s="222">
        <v>31.8</v>
      </c>
      <c r="L1147" s="277">
        <v>1464.8</v>
      </c>
      <c r="M1147" s="146">
        <f t="shared" si="175"/>
        <v>0.02170944838885855</v>
      </c>
      <c r="N1147" s="147">
        <v>220.83</v>
      </c>
      <c r="O1147" s="148">
        <f t="shared" si="176"/>
        <v>4.794097487711634</v>
      </c>
      <c r="P1147" s="208">
        <f t="shared" si="177"/>
        <v>1302.5669033315128</v>
      </c>
      <c r="Q1147" s="149">
        <f t="shared" si="178"/>
        <v>287.645849262698</v>
      </c>
      <c r="R1147" s="3"/>
      <c r="S1147" s="88"/>
      <c r="T1147" s="88"/>
    </row>
    <row r="1148" spans="1:20" ht="12.75">
      <c r="A1148" s="1087"/>
      <c r="B1148" s="34">
        <v>4</v>
      </c>
      <c r="C1148" s="205" t="s">
        <v>863</v>
      </c>
      <c r="D1148" s="135">
        <v>24</v>
      </c>
      <c r="E1148" s="135">
        <v>1986</v>
      </c>
      <c r="F1148" s="222">
        <v>37.544</v>
      </c>
      <c r="G1148" s="222">
        <v>1.326</v>
      </c>
      <c r="H1148" s="222">
        <v>3.84</v>
      </c>
      <c r="I1148" s="222">
        <v>32.378</v>
      </c>
      <c r="J1148" s="277">
        <v>1401.71</v>
      </c>
      <c r="K1148" s="222">
        <v>32.378</v>
      </c>
      <c r="L1148" s="277">
        <v>1401.7</v>
      </c>
      <c r="M1148" s="146">
        <f t="shared" si="175"/>
        <v>0.02309909395733752</v>
      </c>
      <c r="N1148" s="147">
        <v>220.83</v>
      </c>
      <c r="O1148" s="148">
        <f t="shared" si="176"/>
        <v>5.100972918598845</v>
      </c>
      <c r="P1148" s="208">
        <f t="shared" si="177"/>
        <v>1385.9456374402512</v>
      </c>
      <c r="Q1148" s="149">
        <f t="shared" si="178"/>
        <v>306.0583751159307</v>
      </c>
      <c r="R1148" s="3"/>
      <c r="S1148" s="88"/>
      <c r="T1148" s="88"/>
    </row>
    <row r="1149" spans="1:20" ht="12.75">
      <c r="A1149" s="1087"/>
      <c r="B1149" s="75">
        <v>5</v>
      </c>
      <c r="C1149" s="205" t="s">
        <v>480</v>
      </c>
      <c r="D1149" s="135">
        <v>32</v>
      </c>
      <c r="E1149" s="135">
        <v>1977</v>
      </c>
      <c r="F1149" s="222">
        <v>50.359</v>
      </c>
      <c r="G1149" s="222">
        <v>2.244</v>
      </c>
      <c r="H1149" s="222">
        <v>5.12</v>
      </c>
      <c r="I1149" s="222">
        <v>42.995</v>
      </c>
      <c r="J1149" s="277">
        <v>1796.17</v>
      </c>
      <c r="K1149" s="222">
        <v>43</v>
      </c>
      <c r="L1149" s="277">
        <v>1796.2</v>
      </c>
      <c r="M1149" s="146">
        <f t="shared" si="175"/>
        <v>0.023939427680659167</v>
      </c>
      <c r="N1149" s="147">
        <v>220.83</v>
      </c>
      <c r="O1149" s="148">
        <f t="shared" si="176"/>
        <v>5.286543814719964</v>
      </c>
      <c r="P1149" s="208">
        <f t="shared" si="177"/>
        <v>1436.3656608395502</v>
      </c>
      <c r="Q1149" s="149">
        <f t="shared" si="178"/>
        <v>317.1926288831979</v>
      </c>
      <c r="R1149" s="3"/>
      <c r="S1149" s="88"/>
      <c r="T1149" s="88"/>
    </row>
    <row r="1150" spans="1:20" ht="12.75">
      <c r="A1150" s="938"/>
      <c r="B1150" s="34">
        <v>6</v>
      </c>
      <c r="C1150" s="205" t="s">
        <v>479</v>
      </c>
      <c r="D1150" s="135">
        <v>28</v>
      </c>
      <c r="E1150" s="135">
        <v>1975</v>
      </c>
      <c r="F1150" s="222">
        <v>45.657</v>
      </c>
      <c r="G1150" s="222">
        <v>2.703</v>
      </c>
      <c r="H1150" s="222">
        <v>4.6324</v>
      </c>
      <c r="I1150" s="222">
        <v>38.3215</v>
      </c>
      <c r="J1150" s="277">
        <v>1599.61</v>
      </c>
      <c r="K1150" s="222">
        <v>38.3</v>
      </c>
      <c r="L1150" s="277">
        <v>1599.6</v>
      </c>
      <c r="M1150" s="146">
        <f t="shared" si="175"/>
        <v>0.023943485871467867</v>
      </c>
      <c r="N1150" s="147">
        <v>220.83</v>
      </c>
      <c r="O1150" s="148">
        <f t="shared" si="176"/>
        <v>5.287439984996249</v>
      </c>
      <c r="P1150" s="208">
        <f t="shared" si="177"/>
        <v>1436.609152288072</v>
      </c>
      <c r="Q1150" s="149">
        <f t="shared" si="178"/>
        <v>317.246399099775</v>
      </c>
      <c r="R1150" s="6"/>
      <c r="S1150" s="88"/>
      <c r="T1150" s="88"/>
    </row>
    <row r="1151" spans="1:20" ht="12.75">
      <c r="A1151" s="938"/>
      <c r="B1151" s="34">
        <v>7</v>
      </c>
      <c r="C1151" s="205" t="s">
        <v>396</v>
      </c>
      <c r="D1151" s="135">
        <v>28</v>
      </c>
      <c r="E1151" s="135">
        <v>1974</v>
      </c>
      <c r="F1151" s="222">
        <v>47.139</v>
      </c>
      <c r="G1151" s="222">
        <v>3.1365</v>
      </c>
      <c r="H1151" s="222">
        <v>4.48</v>
      </c>
      <c r="I1151" s="222">
        <v>39.5225</v>
      </c>
      <c r="J1151" s="277">
        <v>1570.75</v>
      </c>
      <c r="K1151" s="222">
        <v>39.5</v>
      </c>
      <c r="L1151" s="277">
        <v>1570.8</v>
      </c>
      <c r="M1151" s="146">
        <f t="shared" si="175"/>
        <v>0.025146422205245735</v>
      </c>
      <c r="N1151" s="147">
        <v>220.83</v>
      </c>
      <c r="O1151" s="148">
        <f t="shared" si="176"/>
        <v>5.553084415584416</v>
      </c>
      <c r="P1151" s="208">
        <f t="shared" si="177"/>
        <v>1508.7853323147442</v>
      </c>
      <c r="Q1151" s="149">
        <f t="shared" si="178"/>
        <v>333.185064935065</v>
      </c>
      <c r="R1151" s="6"/>
      <c r="S1151" s="88"/>
      <c r="T1151" s="88"/>
    </row>
    <row r="1152" spans="1:20" ht="12.75">
      <c r="A1152" s="938"/>
      <c r="B1152" s="34">
        <v>8</v>
      </c>
      <c r="C1152" s="205" t="s">
        <v>864</v>
      </c>
      <c r="D1152" s="135">
        <v>36</v>
      </c>
      <c r="E1152" s="135">
        <v>1972</v>
      </c>
      <c r="F1152" s="222">
        <v>46.521878</v>
      </c>
      <c r="G1152" s="222">
        <v>2.55</v>
      </c>
      <c r="H1152" s="222">
        <v>5.6</v>
      </c>
      <c r="I1152" s="222">
        <v>38.371874</v>
      </c>
      <c r="J1152" s="277">
        <v>1450.19</v>
      </c>
      <c r="K1152" s="222">
        <v>38.4</v>
      </c>
      <c r="L1152" s="277">
        <v>1450.2</v>
      </c>
      <c r="M1152" s="146">
        <f t="shared" si="175"/>
        <v>0.026479106330161355</v>
      </c>
      <c r="N1152" s="147">
        <v>220.83</v>
      </c>
      <c r="O1152" s="148">
        <f t="shared" si="176"/>
        <v>5.847381050889532</v>
      </c>
      <c r="P1152" s="208">
        <f t="shared" si="177"/>
        <v>1588.7463798096812</v>
      </c>
      <c r="Q1152" s="149">
        <f t="shared" si="178"/>
        <v>350.8428630533719</v>
      </c>
      <c r="R1152" s="6"/>
      <c r="S1152" s="88"/>
      <c r="T1152" s="88"/>
    </row>
    <row r="1153" spans="1:20" ht="13.5" thickBot="1">
      <c r="A1153" s="938"/>
      <c r="B1153" s="34">
        <v>9</v>
      </c>
      <c r="C1153" s="216"/>
      <c r="D1153" s="136"/>
      <c r="E1153" s="136"/>
      <c r="F1153" s="312"/>
      <c r="G1153" s="312"/>
      <c r="H1153" s="312"/>
      <c r="I1153" s="312"/>
      <c r="J1153" s="278"/>
      <c r="K1153" s="312"/>
      <c r="L1153" s="278"/>
      <c r="M1153" s="211"/>
      <c r="N1153" s="221"/>
      <c r="O1153" s="212"/>
      <c r="P1153" s="212"/>
      <c r="Q1153" s="213"/>
      <c r="R1153" s="6"/>
      <c r="S1153" s="88"/>
      <c r="T1153" s="88"/>
    </row>
    <row r="1154" spans="1:20" ht="12.75" customHeight="1">
      <c r="A1154" s="1082" t="s">
        <v>12</v>
      </c>
      <c r="B1154" s="39">
        <v>1</v>
      </c>
      <c r="C1154" s="241" t="s">
        <v>865</v>
      </c>
      <c r="D1154" s="369">
        <v>20</v>
      </c>
      <c r="E1154" s="369">
        <v>1974</v>
      </c>
      <c r="F1154" s="389">
        <v>29.769</v>
      </c>
      <c r="G1154" s="389">
        <v>0.51</v>
      </c>
      <c r="H1154" s="389">
        <v>3.2</v>
      </c>
      <c r="I1154" s="389">
        <v>26.058997</v>
      </c>
      <c r="J1154" s="391">
        <v>939.98</v>
      </c>
      <c r="K1154" s="389">
        <v>26.1</v>
      </c>
      <c r="L1154" s="391">
        <v>939.98</v>
      </c>
      <c r="M1154" s="170">
        <f aca="true" t="shared" si="179" ref="M1154:M1159">K1154/L1154</f>
        <v>0.02776654822443031</v>
      </c>
      <c r="N1154" s="168">
        <v>220.83</v>
      </c>
      <c r="O1154" s="171">
        <f aca="true" t="shared" si="180" ref="O1154:O1159">M1154*N1154</f>
        <v>6.131686844400946</v>
      </c>
      <c r="P1154" s="171">
        <f aca="true" t="shared" si="181" ref="P1154:P1159">M1154*60*1000</f>
        <v>1665.9928934658185</v>
      </c>
      <c r="Q1154" s="172">
        <f aca="true" t="shared" si="182" ref="Q1154:Q1159">P1154*N1154/1000</f>
        <v>367.9012106640567</v>
      </c>
      <c r="R1154" s="6"/>
      <c r="S1154" s="88"/>
      <c r="T1154" s="88"/>
    </row>
    <row r="1155" spans="1:20" ht="12.75" customHeight="1">
      <c r="A1155" s="974"/>
      <c r="B1155" s="79">
        <v>2</v>
      </c>
      <c r="C1155" s="169" t="s">
        <v>866</v>
      </c>
      <c r="D1155" s="137">
        <v>12</v>
      </c>
      <c r="E1155" s="137">
        <v>1989</v>
      </c>
      <c r="F1155" s="218">
        <v>24.16</v>
      </c>
      <c r="G1155" s="218">
        <v>1.377</v>
      </c>
      <c r="H1155" s="218">
        <v>1.92</v>
      </c>
      <c r="I1155" s="218">
        <v>20.863</v>
      </c>
      <c r="J1155" s="275">
        <v>704.6</v>
      </c>
      <c r="K1155" s="218">
        <v>20.9</v>
      </c>
      <c r="L1155" s="275">
        <v>704.6</v>
      </c>
      <c r="M1155" s="150">
        <f t="shared" si="179"/>
        <v>0.029662219699120064</v>
      </c>
      <c r="N1155" s="151">
        <v>220.83</v>
      </c>
      <c r="O1155" s="152">
        <f t="shared" si="180"/>
        <v>6.5503079761566845</v>
      </c>
      <c r="P1155" s="152">
        <f t="shared" si="181"/>
        <v>1779.7331819472038</v>
      </c>
      <c r="Q1155" s="153">
        <f t="shared" si="182"/>
        <v>393.018478569401</v>
      </c>
      <c r="R1155" s="6"/>
      <c r="S1155" s="88"/>
      <c r="T1155" s="88"/>
    </row>
    <row r="1156" spans="1:20" ht="12.75" customHeight="1">
      <c r="A1156" s="974"/>
      <c r="B1156" s="79">
        <v>3</v>
      </c>
      <c r="C1156" s="241" t="s">
        <v>867</v>
      </c>
      <c r="D1156" s="369">
        <v>8</v>
      </c>
      <c r="E1156" s="369">
        <v>1967</v>
      </c>
      <c r="F1156" s="389">
        <v>13.724</v>
      </c>
      <c r="G1156" s="389">
        <v>0.612</v>
      </c>
      <c r="H1156" s="389">
        <v>1.28</v>
      </c>
      <c r="I1156" s="389">
        <v>11.832</v>
      </c>
      <c r="J1156" s="391">
        <v>397.32</v>
      </c>
      <c r="K1156" s="389">
        <v>11.8</v>
      </c>
      <c r="L1156" s="391">
        <v>397.3</v>
      </c>
      <c r="M1156" s="170">
        <f t="shared" si="179"/>
        <v>0.029700478228039267</v>
      </c>
      <c r="N1156" s="168">
        <v>220.834</v>
      </c>
      <c r="O1156" s="171">
        <f t="shared" si="180"/>
        <v>6.558875409010824</v>
      </c>
      <c r="P1156" s="171">
        <f t="shared" si="181"/>
        <v>1782.0286936823559</v>
      </c>
      <c r="Q1156" s="172">
        <f t="shared" si="182"/>
        <v>393.5325245406494</v>
      </c>
      <c r="R1156" s="6"/>
      <c r="S1156" s="88"/>
      <c r="T1156" s="88"/>
    </row>
    <row r="1157" spans="1:20" ht="12.75" customHeight="1">
      <c r="A1157" s="974"/>
      <c r="B1157" s="79">
        <v>4</v>
      </c>
      <c r="C1157" s="169" t="s">
        <v>868</v>
      </c>
      <c r="D1157" s="137">
        <v>8</v>
      </c>
      <c r="E1157" s="137">
        <v>1966</v>
      </c>
      <c r="F1157" s="218">
        <v>13.506</v>
      </c>
      <c r="G1157" s="218">
        <v>0.408</v>
      </c>
      <c r="H1157" s="218">
        <v>1.3</v>
      </c>
      <c r="I1157" s="218">
        <v>11.818</v>
      </c>
      <c r="J1157" s="275">
        <v>393.86</v>
      </c>
      <c r="K1157" s="218">
        <v>11.818</v>
      </c>
      <c r="L1157" s="275">
        <v>393.86</v>
      </c>
      <c r="M1157" s="150">
        <f t="shared" si="179"/>
        <v>0.030005585741126287</v>
      </c>
      <c r="N1157" s="151">
        <v>220.83</v>
      </c>
      <c r="O1157" s="152">
        <f t="shared" si="180"/>
        <v>6.626133499212918</v>
      </c>
      <c r="P1157" s="171">
        <f t="shared" si="181"/>
        <v>1800.3351444675773</v>
      </c>
      <c r="Q1157" s="153">
        <f t="shared" si="182"/>
        <v>397.56800995277507</v>
      </c>
      <c r="R1157" s="6"/>
      <c r="S1157" s="88"/>
      <c r="T1157" s="88"/>
    </row>
    <row r="1158" spans="1:20" ht="12.75">
      <c r="A1158" s="974"/>
      <c r="B1158" s="41">
        <v>5</v>
      </c>
      <c r="C1158" s="169" t="s">
        <v>481</v>
      </c>
      <c r="D1158" s="137">
        <v>8</v>
      </c>
      <c r="E1158" s="137">
        <v>1967</v>
      </c>
      <c r="F1158" s="218">
        <v>12.47278</v>
      </c>
      <c r="G1158" s="218">
        <v>0.816</v>
      </c>
      <c r="H1158" s="218">
        <v>1.171</v>
      </c>
      <c r="I1158" s="218">
        <v>10.4878</v>
      </c>
      <c r="J1158" s="275">
        <v>335.29</v>
      </c>
      <c r="K1158" s="218">
        <v>10.5</v>
      </c>
      <c r="L1158" s="275">
        <v>335.3</v>
      </c>
      <c r="M1158" s="150">
        <f t="shared" si="179"/>
        <v>0.031315240083507306</v>
      </c>
      <c r="N1158" s="151">
        <v>220.83</v>
      </c>
      <c r="O1158" s="152">
        <f t="shared" si="180"/>
        <v>6.915344467640919</v>
      </c>
      <c r="P1158" s="171">
        <f t="shared" si="181"/>
        <v>1878.9144050104385</v>
      </c>
      <c r="Q1158" s="153">
        <f t="shared" si="182"/>
        <v>414.9206680584552</v>
      </c>
      <c r="R1158" s="6"/>
      <c r="S1158" s="88"/>
      <c r="T1158" s="88"/>
    </row>
    <row r="1159" spans="1:20" ht="12.75">
      <c r="A1159" s="974"/>
      <c r="B1159" s="41"/>
      <c r="C1159" s="169" t="s">
        <v>482</v>
      </c>
      <c r="D1159" s="137">
        <v>8</v>
      </c>
      <c r="E1159" s="137">
        <v>1981</v>
      </c>
      <c r="F1159" s="218">
        <v>15.179</v>
      </c>
      <c r="G1159" s="218">
        <v>0.612</v>
      </c>
      <c r="H1159" s="218">
        <v>1.38557</v>
      </c>
      <c r="I1159" s="218">
        <v>13.18143</v>
      </c>
      <c r="J1159" s="275">
        <v>411.28</v>
      </c>
      <c r="K1159" s="218">
        <v>13.18143</v>
      </c>
      <c r="L1159" s="275">
        <v>411.3</v>
      </c>
      <c r="M1159" s="150">
        <f t="shared" si="179"/>
        <v>0.032048212983223925</v>
      </c>
      <c r="N1159" s="151">
        <v>220.83</v>
      </c>
      <c r="O1159" s="152">
        <f t="shared" si="180"/>
        <v>7.0772068730853395</v>
      </c>
      <c r="P1159" s="171">
        <f t="shared" si="181"/>
        <v>1922.8927789934355</v>
      </c>
      <c r="Q1159" s="153">
        <f t="shared" si="182"/>
        <v>424.6324123851204</v>
      </c>
      <c r="R1159" s="6"/>
      <c r="S1159" s="88"/>
      <c r="T1159" s="88"/>
    </row>
    <row r="1160" spans="1:20" ht="12.75">
      <c r="A1160" s="974"/>
      <c r="B1160" s="41"/>
      <c r="C1160" s="169"/>
      <c r="D1160" s="137"/>
      <c r="E1160" s="137"/>
      <c r="F1160" s="218"/>
      <c r="G1160" s="218"/>
      <c r="H1160" s="218"/>
      <c r="I1160" s="218"/>
      <c r="J1160" s="275"/>
      <c r="K1160" s="386"/>
      <c r="L1160" s="275"/>
      <c r="M1160" s="150"/>
      <c r="N1160" s="151"/>
      <c r="O1160" s="152"/>
      <c r="P1160" s="171"/>
      <c r="Q1160" s="153"/>
      <c r="R1160" s="6"/>
      <c r="S1160" s="88"/>
      <c r="T1160" s="88"/>
    </row>
    <row r="1161" spans="1:20" ht="12.75">
      <c r="A1161" s="974"/>
      <c r="B1161" s="41"/>
      <c r="C1161" s="169"/>
      <c r="D1161" s="137"/>
      <c r="E1161" s="137"/>
      <c r="F1161" s="218"/>
      <c r="G1161" s="218"/>
      <c r="H1161" s="218"/>
      <c r="I1161" s="218"/>
      <c r="J1161" s="275"/>
      <c r="K1161" s="386"/>
      <c r="L1161" s="275"/>
      <c r="M1161" s="150"/>
      <c r="N1161" s="151"/>
      <c r="O1161" s="152"/>
      <c r="P1161" s="152"/>
      <c r="Q1161" s="371"/>
      <c r="R1161" s="232"/>
      <c r="S1161" s="88"/>
      <c r="T1161" s="88"/>
    </row>
    <row r="1162" spans="1:20" ht="13.5" thickBot="1">
      <c r="A1162" s="1083"/>
      <c r="B1162" s="45"/>
      <c r="C1162" s="359"/>
      <c r="D1162" s="360"/>
      <c r="E1162" s="360"/>
      <c r="F1162" s="361"/>
      <c r="G1162" s="362"/>
      <c r="H1162" s="362"/>
      <c r="I1162" s="362"/>
      <c r="J1162" s="362"/>
      <c r="K1162" s="362"/>
      <c r="L1162" s="362"/>
      <c r="M1162" s="362"/>
      <c r="N1162" s="362"/>
      <c r="O1162" s="362"/>
      <c r="P1162" s="362"/>
      <c r="Q1162" s="363"/>
      <c r="S1162" s="88"/>
      <c r="T1162" s="88"/>
    </row>
    <row r="1163" spans="19:20" ht="12.75">
      <c r="S1163" s="88"/>
      <c r="T1163" s="88"/>
    </row>
    <row r="1164" spans="1:20" ht="15">
      <c r="A1164" s="967" t="s">
        <v>916</v>
      </c>
      <c r="B1164" s="967"/>
      <c r="C1164" s="967"/>
      <c r="D1164" s="967"/>
      <c r="E1164" s="967"/>
      <c r="F1164" s="967"/>
      <c r="G1164" s="967"/>
      <c r="H1164" s="967"/>
      <c r="I1164" s="967"/>
      <c r="J1164" s="967"/>
      <c r="K1164" s="967"/>
      <c r="L1164" s="967"/>
      <c r="M1164" s="967"/>
      <c r="N1164" s="967"/>
      <c r="O1164" s="967"/>
      <c r="P1164" s="967"/>
      <c r="Q1164" s="967"/>
      <c r="S1164" s="88"/>
      <c r="T1164" s="88"/>
    </row>
    <row r="1165" spans="1:20" ht="13.5" thickBot="1">
      <c r="A1165" s="968" t="s">
        <v>917</v>
      </c>
      <c r="B1165" s="968"/>
      <c r="C1165" s="968"/>
      <c r="D1165" s="968"/>
      <c r="E1165" s="968"/>
      <c r="F1165" s="968"/>
      <c r="G1165" s="968"/>
      <c r="H1165" s="968"/>
      <c r="I1165" s="968"/>
      <c r="J1165" s="968"/>
      <c r="K1165" s="968"/>
      <c r="L1165" s="968"/>
      <c r="M1165" s="968"/>
      <c r="N1165" s="968"/>
      <c r="O1165" s="968"/>
      <c r="P1165" s="968"/>
      <c r="Q1165" s="968"/>
      <c r="S1165" s="88"/>
      <c r="T1165" s="88"/>
    </row>
    <row r="1166" spans="1:20" ht="12.75" customHeight="1">
      <c r="A1166" s="952" t="s">
        <v>1</v>
      </c>
      <c r="B1166" s="955" t="s">
        <v>0</v>
      </c>
      <c r="C1166" s="944" t="s">
        <v>2</v>
      </c>
      <c r="D1166" s="944" t="s">
        <v>3</v>
      </c>
      <c r="E1166" s="944" t="s">
        <v>13</v>
      </c>
      <c r="F1166" s="960" t="s">
        <v>14</v>
      </c>
      <c r="G1166" s="961"/>
      <c r="H1166" s="961"/>
      <c r="I1166" s="962"/>
      <c r="J1166" s="944" t="s">
        <v>4</v>
      </c>
      <c r="K1166" s="944" t="s">
        <v>15</v>
      </c>
      <c r="L1166" s="944" t="s">
        <v>5</v>
      </c>
      <c r="M1166" s="944" t="s">
        <v>6</v>
      </c>
      <c r="N1166" s="944" t="s">
        <v>16</v>
      </c>
      <c r="O1166" s="969" t="s">
        <v>17</v>
      </c>
      <c r="P1166" s="944" t="s">
        <v>25</v>
      </c>
      <c r="Q1166" s="929" t="s">
        <v>26</v>
      </c>
      <c r="S1166" s="88"/>
      <c r="T1166" s="88"/>
    </row>
    <row r="1167" spans="1:20" s="2" customFormat="1" ht="33.75">
      <c r="A1167" s="953"/>
      <c r="B1167" s="956"/>
      <c r="C1167" s="958"/>
      <c r="D1167" s="945"/>
      <c r="E1167" s="945"/>
      <c r="F1167" s="37" t="s">
        <v>18</v>
      </c>
      <c r="G1167" s="37" t="s">
        <v>19</v>
      </c>
      <c r="H1167" s="37" t="s">
        <v>20</v>
      </c>
      <c r="I1167" s="37" t="s">
        <v>21</v>
      </c>
      <c r="J1167" s="945"/>
      <c r="K1167" s="945"/>
      <c r="L1167" s="945"/>
      <c r="M1167" s="945"/>
      <c r="N1167" s="945"/>
      <c r="O1167" s="970"/>
      <c r="P1167" s="945"/>
      <c r="Q1167" s="930"/>
      <c r="R1167" s="1"/>
      <c r="S1167" s="88"/>
      <c r="T1167" s="88"/>
    </row>
    <row r="1168" spans="1:20" s="3" customFormat="1" ht="13.5" customHeight="1" thickBot="1">
      <c r="A1168" s="954"/>
      <c r="B1168" s="957"/>
      <c r="C1168" s="959"/>
      <c r="D1168" s="58" t="s">
        <v>7</v>
      </c>
      <c r="E1168" s="58" t="s">
        <v>8</v>
      </c>
      <c r="F1168" s="58" t="s">
        <v>9</v>
      </c>
      <c r="G1168" s="58" t="s">
        <v>9</v>
      </c>
      <c r="H1168" s="58" t="s">
        <v>9</v>
      </c>
      <c r="I1168" s="58" t="s">
        <v>9</v>
      </c>
      <c r="J1168" s="58" t="s">
        <v>22</v>
      </c>
      <c r="K1168" s="58" t="s">
        <v>9</v>
      </c>
      <c r="L1168" s="58" t="s">
        <v>22</v>
      </c>
      <c r="M1168" s="58" t="s">
        <v>134</v>
      </c>
      <c r="N1168" s="58" t="s">
        <v>10</v>
      </c>
      <c r="O1168" s="58" t="s">
        <v>135</v>
      </c>
      <c r="P1168" s="59" t="s">
        <v>27</v>
      </c>
      <c r="Q1168" s="60" t="s">
        <v>28</v>
      </c>
      <c r="R1168" s="2"/>
      <c r="S1168" s="88"/>
      <c r="T1168" s="88"/>
    </row>
    <row r="1169" spans="1:20" ht="12.75">
      <c r="A1169" s="926" t="s">
        <v>11</v>
      </c>
      <c r="B1169" s="29">
        <v>1</v>
      </c>
      <c r="C1169" s="202" t="s">
        <v>918</v>
      </c>
      <c r="D1169" s="159">
        <v>44</v>
      </c>
      <c r="E1169" s="159" t="s">
        <v>257</v>
      </c>
      <c r="F1169" s="248">
        <f aca="true" t="shared" si="183" ref="F1169:F1175">+G1169+H1169+I1169</f>
        <v>20.64367</v>
      </c>
      <c r="G1169" s="253">
        <v>2.67597</v>
      </c>
      <c r="H1169" s="253">
        <v>6.89</v>
      </c>
      <c r="I1169" s="253">
        <v>11.0777</v>
      </c>
      <c r="J1169" s="270">
        <v>1862.58</v>
      </c>
      <c r="K1169" s="253">
        <v>11.0777</v>
      </c>
      <c r="L1169" s="270">
        <v>1862.58</v>
      </c>
      <c r="M1169" s="173">
        <f aca="true" t="shared" si="184" ref="M1169:M1175">K1169/L1169</f>
        <v>0.005947502926048814</v>
      </c>
      <c r="N1169" s="160">
        <v>277.732</v>
      </c>
      <c r="O1169" s="164">
        <f aca="true" t="shared" si="185" ref="O1169:O1175">M1169*N1169</f>
        <v>1.6518118826573895</v>
      </c>
      <c r="P1169" s="164">
        <f aca="true" t="shared" si="186" ref="P1169:P1175">M1169*60*1000</f>
        <v>356.8501755629289</v>
      </c>
      <c r="Q1169" s="203">
        <f aca="true" t="shared" si="187" ref="Q1169:Q1175">P1169*N1169/1000</f>
        <v>99.10871295944338</v>
      </c>
      <c r="R1169" s="3"/>
      <c r="S1169" s="88"/>
      <c r="T1169" s="88"/>
    </row>
    <row r="1170" spans="1:20" ht="12.75">
      <c r="A1170" s="927"/>
      <c r="B1170" s="30">
        <v>2</v>
      </c>
      <c r="C1170" s="158" t="s">
        <v>919</v>
      </c>
      <c r="D1170" s="132">
        <v>40</v>
      </c>
      <c r="E1170" s="132" t="s">
        <v>257</v>
      </c>
      <c r="F1170" s="248">
        <f t="shared" si="183"/>
        <v>23.987885</v>
      </c>
      <c r="G1170" s="248">
        <v>4.13792</v>
      </c>
      <c r="H1170" s="248">
        <v>6.17</v>
      </c>
      <c r="I1170" s="248">
        <v>13.679965</v>
      </c>
      <c r="J1170" s="271">
        <v>2233.8</v>
      </c>
      <c r="K1170" s="248">
        <v>13.679965</v>
      </c>
      <c r="L1170" s="271">
        <v>2233.8</v>
      </c>
      <c r="M1170" s="141">
        <f t="shared" si="184"/>
        <v>0.006124077804637836</v>
      </c>
      <c r="N1170" s="142">
        <v>277.732</v>
      </c>
      <c r="O1170" s="143">
        <f t="shared" si="185"/>
        <v>1.7008523768376755</v>
      </c>
      <c r="P1170" s="164">
        <f t="shared" si="186"/>
        <v>367.44466827827017</v>
      </c>
      <c r="Q1170" s="144">
        <f t="shared" si="187"/>
        <v>102.05114261026054</v>
      </c>
      <c r="R1170" s="6"/>
      <c r="S1170" s="88"/>
      <c r="T1170" s="88"/>
    </row>
    <row r="1171" spans="1:20" ht="12.75">
      <c r="A1171" s="927"/>
      <c r="B1171" s="30">
        <v>3</v>
      </c>
      <c r="C1171" s="158" t="s">
        <v>920</v>
      </c>
      <c r="D1171" s="132">
        <v>8</v>
      </c>
      <c r="E1171" s="132" t="s">
        <v>257</v>
      </c>
      <c r="F1171" s="248">
        <f t="shared" si="183"/>
        <v>4.295147</v>
      </c>
      <c r="G1171" s="248">
        <v>0</v>
      </c>
      <c r="H1171" s="248">
        <v>0</v>
      </c>
      <c r="I1171" s="248">
        <v>4.295147</v>
      </c>
      <c r="J1171" s="271">
        <v>487.4</v>
      </c>
      <c r="K1171" s="248">
        <v>4.295147</v>
      </c>
      <c r="L1171" s="271">
        <v>487.4</v>
      </c>
      <c r="M1171" s="141">
        <f t="shared" si="184"/>
        <v>0.008812365613459171</v>
      </c>
      <c r="N1171" s="142">
        <v>277.732</v>
      </c>
      <c r="O1171" s="143">
        <f t="shared" si="185"/>
        <v>2.4474759265572428</v>
      </c>
      <c r="P1171" s="164">
        <f t="shared" si="186"/>
        <v>528.7419368075504</v>
      </c>
      <c r="Q1171" s="144">
        <f t="shared" si="187"/>
        <v>146.8485555934346</v>
      </c>
      <c r="S1171" s="88"/>
      <c r="T1171" s="88"/>
    </row>
    <row r="1172" spans="1:20" ht="12.75">
      <c r="A1172" s="927"/>
      <c r="B1172" s="30">
        <v>4</v>
      </c>
      <c r="C1172" s="158" t="s">
        <v>921</v>
      </c>
      <c r="D1172" s="132">
        <v>25</v>
      </c>
      <c r="E1172" s="132" t="s">
        <v>257</v>
      </c>
      <c r="F1172" s="248">
        <f t="shared" si="183"/>
        <v>15.029160000000001</v>
      </c>
      <c r="G1172" s="248">
        <v>1.54904</v>
      </c>
      <c r="H1172" s="248">
        <v>1.86</v>
      </c>
      <c r="I1172" s="248">
        <v>11.62012</v>
      </c>
      <c r="J1172" s="271">
        <v>1312.39</v>
      </c>
      <c r="K1172" s="248">
        <v>11.62012</v>
      </c>
      <c r="L1172" s="271">
        <v>1312.39</v>
      </c>
      <c r="M1172" s="141">
        <f t="shared" si="184"/>
        <v>0.00885416682541013</v>
      </c>
      <c r="N1172" s="142">
        <v>277.732</v>
      </c>
      <c r="O1172" s="143">
        <f t="shared" si="185"/>
        <v>2.4590854607548063</v>
      </c>
      <c r="P1172" s="164">
        <f t="shared" si="186"/>
        <v>531.2500095246078</v>
      </c>
      <c r="Q1172" s="144">
        <f t="shared" si="187"/>
        <v>147.5451276452884</v>
      </c>
      <c r="S1172" s="88"/>
      <c r="T1172" s="88"/>
    </row>
    <row r="1173" spans="1:20" ht="12.75">
      <c r="A1173" s="927"/>
      <c r="B1173" s="30">
        <v>5</v>
      </c>
      <c r="C1173" s="158" t="s">
        <v>922</v>
      </c>
      <c r="D1173" s="132">
        <v>45</v>
      </c>
      <c r="E1173" s="132" t="s">
        <v>257</v>
      </c>
      <c r="F1173" s="248">
        <f t="shared" si="183"/>
        <v>31.133233000000004</v>
      </c>
      <c r="G1173" s="248">
        <v>3.675672</v>
      </c>
      <c r="H1173" s="248">
        <v>6.48</v>
      </c>
      <c r="I1173" s="248">
        <v>20.977561</v>
      </c>
      <c r="J1173" s="271">
        <v>2324.7</v>
      </c>
      <c r="K1173" s="248">
        <v>20.977561</v>
      </c>
      <c r="L1173" s="271">
        <v>2324.7</v>
      </c>
      <c r="M1173" s="141">
        <f t="shared" si="184"/>
        <v>0.009023771239299696</v>
      </c>
      <c r="N1173" s="142">
        <v>277.732</v>
      </c>
      <c r="O1173" s="143">
        <f t="shared" si="185"/>
        <v>2.5061900338331835</v>
      </c>
      <c r="P1173" s="164">
        <f t="shared" si="186"/>
        <v>541.4262743579817</v>
      </c>
      <c r="Q1173" s="144">
        <f t="shared" si="187"/>
        <v>150.37140202999097</v>
      </c>
      <c r="S1173" s="88"/>
      <c r="T1173" s="88"/>
    </row>
    <row r="1174" spans="1:20" ht="12.75">
      <c r="A1174" s="927"/>
      <c r="B1174" s="30">
        <v>6</v>
      </c>
      <c r="C1174" s="158" t="s">
        <v>923</v>
      </c>
      <c r="D1174" s="132">
        <v>45</v>
      </c>
      <c r="E1174" s="132" t="s">
        <v>257</v>
      </c>
      <c r="F1174" s="248">
        <f t="shared" si="183"/>
        <v>31.999091</v>
      </c>
      <c r="G1174" s="248">
        <v>3.132675</v>
      </c>
      <c r="H1174" s="248">
        <v>6.8</v>
      </c>
      <c r="I1174" s="248">
        <v>22.066416</v>
      </c>
      <c r="J1174" s="271">
        <v>2290.41</v>
      </c>
      <c r="K1174" s="248">
        <v>22.066416</v>
      </c>
      <c r="L1174" s="271">
        <v>2290.41</v>
      </c>
      <c r="M1174" s="141">
        <f t="shared" si="184"/>
        <v>0.009634264607646667</v>
      </c>
      <c r="N1174" s="142">
        <v>277.732</v>
      </c>
      <c r="O1174" s="143">
        <f t="shared" si="185"/>
        <v>2.6757435780109247</v>
      </c>
      <c r="P1174" s="164">
        <f t="shared" si="186"/>
        <v>578.0558764588001</v>
      </c>
      <c r="Q1174" s="144">
        <f t="shared" si="187"/>
        <v>160.54461468065549</v>
      </c>
      <c r="S1174" s="88"/>
      <c r="T1174" s="88"/>
    </row>
    <row r="1175" spans="1:20" ht="12.75">
      <c r="A1175" s="927"/>
      <c r="B1175" s="30">
        <v>7</v>
      </c>
      <c r="C1175" s="158" t="s">
        <v>924</v>
      </c>
      <c r="D1175" s="132">
        <v>40</v>
      </c>
      <c r="E1175" s="132" t="s">
        <v>257</v>
      </c>
      <c r="F1175" s="248">
        <f t="shared" si="183"/>
        <v>30.670117</v>
      </c>
      <c r="G1175" s="248">
        <v>2.5996</v>
      </c>
      <c r="H1175" s="248">
        <v>6.08</v>
      </c>
      <c r="I1175" s="248">
        <v>21.990517</v>
      </c>
      <c r="J1175" s="271">
        <v>2260.27</v>
      </c>
      <c r="K1175" s="248">
        <v>21.990517</v>
      </c>
      <c r="L1175" s="271">
        <v>2260.27</v>
      </c>
      <c r="M1175" s="141">
        <f t="shared" si="184"/>
        <v>0.00972915492396926</v>
      </c>
      <c r="N1175" s="142">
        <v>277.732</v>
      </c>
      <c r="O1175" s="143">
        <f t="shared" si="185"/>
        <v>2.702097655343831</v>
      </c>
      <c r="P1175" s="164">
        <f t="shared" si="186"/>
        <v>583.7492954381556</v>
      </c>
      <c r="Q1175" s="144">
        <f t="shared" si="187"/>
        <v>162.12585932062984</v>
      </c>
      <c r="S1175" s="88"/>
      <c r="T1175" s="88"/>
    </row>
    <row r="1176" spans="1:20" ht="12.75">
      <c r="A1176" s="927"/>
      <c r="B1176" s="30">
        <v>8</v>
      </c>
      <c r="C1176" s="223"/>
      <c r="D1176" s="132"/>
      <c r="E1176" s="132"/>
      <c r="F1176" s="248"/>
      <c r="G1176" s="248"/>
      <c r="H1176" s="248"/>
      <c r="I1176" s="248"/>
      <c r="J1176" s="271"/>
      <c r="K1176" s="248"/>
      <c r="L1176" s="271"/>
      <c r="M1176" s="141"/>
      <c r="N1176" s="160"/>
      <c r="O1176" s="143"/>
      <c r="P1176" s="164"/>
      <c r="Q1176" s="144"/>
      <c r="S1176" s="88"/>
      <c r="T1176" s="88"/>
    </row>
    <row r="1177" spans="1:20" ht="12.75">
      <c r="A1177" s="927"/>
      <c r="B1177" s="30">
        <v>9</v>
      </c>
      <c r="C1177" s="62"/>
      <c r="D1177" s="181"/>
      <c r="E1177" s="187"/>
      <c r="F1177" s="130"/>
      <c r="G1177" s="199"/>
      <c r="H1177" s="199"/>
      <c r="I1177" s="199"/>
      <c r="J1177" s="187"/>
      <c r="K1177" s="199"/>
      <c r="L1177" s="458"/>
      <c r="M1177" s="328"/>
      <c r="N1177" s="198"/>
      <c r="O1177" s="198"/>
      <c r="P1177" s="126"/>
      <c r="Q1177" s="296"/>
      <c r="S1177" s="88"/>
      <c r="T1177" s="88"/>
    </row>
    <row r="1178" spans="1:20" ht="13.5" thickBot="1">
      <c r="A1178" s="928"/>
      <c r="B1178" s="63" t="s">
        <v>43</v>
      </c>
      <c r="C1178" s="64"/>
      <c r="D1178" s="242"/>
      <c r="E1178" s="242"/>
      <c r="F1178" s="235"/>
      <c r="G1178" s="235"/>
      <c r="H1178" s="235"/>
      <c r="I1178" s="235"/>
      <c r="J1178" s="364"/>
      <c r="K1178" s="235"/>
      <c r="L1178" s="364"/>
      <c r="M1178" s="297"/>
      <c r="N1178" s="127"/>
      <c r="O1178" s="127"/>
      <c r="P1178" s="127"/>
      <c r="Q1178" s="128"/>
      <c r="S1178" s="88"/>
      <c r="T1178" s="88"/>
    </row>
    <row r="1179" spans="1:20" ht="11.25" customHeight="1">
      <c r="A1179" s="949" t="s">
        <v>29</v>
      </c>
      <c r="B1179" s="708">
        <v>1</v>
      </c>
      <c r="C1179" s="709" t="s">
        <v>925</v>
      </c>
      <c r="D1179" s="710">
        <v>8</v>
      </c>
      <c r="E1179" s="710" t="s">
        <v>257</v>
      </c>
      <c r="F1179" s="711">
        <f>+G1179+H1179+I1179</f>
        <v>5.749283</v>
      </c>
      <c r="G1179" s="712">
        <v>0</v>
      </c>
      <c r="H1179" s="712">
        <v>0</v>
      </c>
      <c r="I1179" s="711">
        <v>5.749283</v>
      </c>
      <c r="J1179" s="713">
        <v>478.14</v>
      </c>
      <c r="K1179" s="712">
        <v>5.749283</v>
      </c>
      <c r="L1179" s="713">
        <v>478.14</v>
      </c>
      <c r="M1179" s="714">
        <f>K1179/L1179</f>
        <v>0.012024266951102189</v>
      </c>
      <c r="N1179" s="715">
        <v>277.732</v>
      </c>
      <c r="O1179" s="716">
        <f>M1179*N1179</f>
        <v>3.3395237088635135</v>
      </c>
      <c r="P1179" s="716">
        <f>M1179*60*1000</f>
        <v>721.4560170661313</v>
      </c>
      <c r="Q1179" s="717">
        <f>P1179*N1179/1000</f>
        <v>200.3714225318108</v>
      </c>
      <c r="S1179" s="88"/>
      <c r="T1179" s="88"/>
    </row>
    <row r="1180" spans="1:20" ht="12.75" customHeight="1">
      <c r="A1180" s="950"/>
      <c r="B1180" s="718">
        <v>2</v>
      </c>
      <c r="C1180" s="709" t="s">
        <v>926</v>
      </c>
      <c r="D1180" s="710">
        <v>100</v>
      </c>
      <c r="E1180" s="710" t="s">
        <v>257</v>
      </c>
      <c r="F1180" s="711">
        <f>+G1180+H1180+I1180</f>
        <v>75.398273</v>
      </c>
      <c r="G1180" s="711">
        <v>5.210847</v>
      </c>
      <c r="H1180" s="711">
        <v>14.45</v>
      </c>
      <c r="I1180" s="711">
        <v>55.737426</v>
      </c>
      <c r="J1180" s="719">
        <v>4386.74</v>
      </c>
      <c r="K1180" s="711">
        <v>55.737426</v>
      </c>
      <c r="L1180" s="719">
        <v>4386.74</v>
      </c>
      <c r="M1180" s="714">
        <f>K1180/L1180</f>
        <v>0.012705887743517967</v>
      </c>
      <c r="N1180" s="720">
        <v>277.732</v>
      </c>
      <c r="O1180" s="716">
        <f>M1180*N1180</f>
        <v>3.528831614782732</v>
      </c>
      <c r="P1180" s="716">
        <f>M1180*60*1000</f>
        <v>762.353264611078</v>
      </c>
      <c r="Q1180" s="717">
        <f>P1180*N1180/1000</f>
        <v>211.72989688696393</v>
      </c>
      <c r="S1180" s="88"/>
      <c r="T1180" s="88"/>
    </row>
    <row r="1181" spans="1:20" ht="12.75" customHeight="1">
      <c r="A1181" s="950"/>
      <c r="B1181" s="718">
        <v>3</v>
      </c>
      <c r="C1181" s="709" t="s">
        <v>927</v>
      </c>
      <c r="D1181" s="710">
        <v>16</v>
      </c>
      <c r="E1181" s="710" t="s">
        <v>257</v>
      </c>
      <c r="F1181" s="711">
        <f>+G1181+H1181+I1181</f>
        <v>10.49188</v>
      </c>
      <c r="G1181" s="711">
        <v>0</v>
      </c>
      <c r="H1181" s="711">
        <v>0</v>
      </c>
      <c r="I1181" s="711">
        <v>10.49188</v>
      </c>
      <c r="J1181" s="719">
        <v>766.89</v>
      </c>
      <c r="K1181" s="711">
        <v>10.49188</v>
      </c>
      <c r="L1181" s="719">
        <v>766.89</v>
      </c>
      <c r="M1181" s="721">
        <f>K1181/L1181</f>
        <v>0.013681075512785407</v>
      </c>
      <c r="N1181" s="720">
        <v>277.732</v>
      </c>
      <c r="O1181" s="716">
        <f>M1181*N1181</f>
        <v>3.799672464316917</v>
      </c>
      <c r="P1181" s="716">
        <f>M1181*60*1000</f>
        <v>820.8645307671244</v>
      </c>
      <c r="Q1181" s="722">
        <f>P1181*N1181/1000</f>
        <v>227.980347859015</v>
      </c>
      <c r="S1181" s="88"/>
      <c r="T1181" s="88"/>
    </row>
    <row r="1182" spans="1:20" ht="12.75" customHeight="1">
      <c r="A1182" s="950"/>
      <c r="B1182" s="718">
        <v>4</v>
      </c>
      <c r="C1182" s="709" t="s">
        <v>928</v>
      </c>
      <c r="D1182" s="710">
        <v>10</v>
      </c>
      <c r="E1182" s="710" t="s">
        <v>257</v>
      </c>
      <c r="F1182" s="711">
        <f>+G1182+H1182+I1182</f>
        <v>11.343668000000001</v>
      </c>
      <c r="G1182" s="711">
        <v>1.122</v>
      </c>
      <c r="H1182" s="711">
        <v>1.6</v>
      </c>
      <c r="I1182" s="711">
        <v>8.621668</v>
      </c>
      <c r="J1182" s="719">
        <v>606.63</v>
      </c>
      <c r="K1182" s="711">
        <v>8.6211668</v>
      </c>
      <c r="L1182" s="719">
        <v>606.63</v>
      </c>
      <c r="M1182" s="721">
        <f>K1182/L1182</f>
        <v>0.01421157344674678</v>
      </c>
      <c r="N1182" s="720">
        <v>277.732</v>
      </c>
      <c r="O1182" s="723">
        <f>M1182*N1182</f>
        <v>3.9470087165118772</v>
      </c>
      <c r="P1182" s="716">
        <f>M1182*60*1000</f>
        <v>852.6944068048068</v>
      </c>
      <c r="Q1182" s="722">
        <f>P1182*N1182/1000</f>
        <v>236.82052299071265</v>
      </c>
      <c r="S1182" s="88"/>
      <c r="T1182" s="88"/>
    </row>
    <row r="1183" spans="1:20" ht="12.75" customHeight="1">
      <c r="A1183" s="950"/>
      <c r="B1183" s="718">
        <v>5</v>
      </c>
      <c r="C1183" s="709" t="s">
        <v>929</v>
      </c>
      <c r="D1183" s="710">
        <v>20</v>
      </c>
      <c r="E1183" s="710" t="s">
        <v>257</v>
      </c>
      <c r="F1183" s="711">
        <f>+G1183+H1183+I1183</f>
        <v>16.501032</v>
      </c>
      <c r="G1183" s="711">
        <v>0</v>
      </c>
      <c r="H1183" s="711">
        <v>0</v>
      </c>
      <c r="I1183" s="711">
        <v>16.501032</v>
      </c>
      <c r="J1183" s="719">
        <v>1098.97</v>
      </c>
      <c r="K1183" s="711">
        <v>16.501032</v>
      </c>
      <c r="L1183" s="719">
        <v>1098.97</v>
      </c>
      <c r="M1183" s="721">
        <f>K1183/L1183</f>
        <v>0.015014997679645484</v>
      </c>
      <c r="N1183" s="720">
        <v>277.732</v>
      </c>
      <c r="O1183" s="723">
        <f>M1183*N1183</f>
        <v>4.1701453355633005</v>
      </c>
      <c r="P1183" s="716">
        <f>M1183*60*1000</f>
        <v>900.8998607787291</v>
      </c>
      <c r="Q1183" s="722">
        <f>P1183*N1183/1000</f>
        <v>250.208720133798</v>
      </c>
      <c r="S1183" s="88"/>
      <c r="T1183" s="88"/>
    </row>
    <row r="1184" spans="1:20" ht="12.75" customHeight="1">
      <c r="A1184" s="950"/>
      <c r="B1184" s="718">
        <v>6</v>
      </c>
      <c r="C1184" s="724"/>
      <c r="D1184" s="710"/>
      <c r="E1184" s="710"/>
      <c r="F1184" s="711"/>
      <c r="G1184" s="711"/>
      <c r="H1184" s="711"/>
      <c r="I1184" s="711"/>
      <c r="J1184" s="719"/>
      <c r="K1184" s="711"/>
      <c r="L1184" s="719"/>
      <c r="M1184" s="721"/>
      <c r="N1184" s="720"/>
      <c r="O1184" s="723"/>
      <c r="P1184" s="723"/>
      <c r="Q1184" s="722"/>
      <c r="S1184" s="88"/>
      <c r="T1184" s="88"/>
    </row>
    <row r="1185" spans="1:20" ht="12.75" customHeight="1">
      <c r="A1185" s="950"/>
      <c r="B1185" s="718">
        <v>7</v>
      </c>
      <c r="C1185" s="724"/>
      <c r="D1185" s="710"/>
      <c r="E1185" s="710"/>
      <c r="F1185" s="711"/>
      <c r="G1185" s="711"/>
      <c r="H1185" s="711"/>
      <c r="I1185" s="711"/>
      <c r="J1185" s="719"/>
      <c r="K1185" s="711"/>
      <c r="L1185" s="719"/>
      <c r="M1185" s="721"/>
      <c r="N1185" s="720"/>
      <c r="O1185" s="723"/>
      <c r="P1185" s="723"/>
      <c r="Q1185" s="722"/>
      <c r="S1185" s="88"/>
      <c r="T1185" s="88"/>
    </row>
    <row r="1186" spans="1:20" ht="12.75" customHeight="1">
      <c r="A1186" s="950"/>
      <c r="B1186" s="725">
        <v>8</v>
      </c>
      <c r="C1186" s="726"/>
      <c r="D1186" s="725"/>
      <c r="E1186" s="725"/>
      <c r="F1186" s="727"/>
      <c r="G1186" s="727"/>
      <c r="H1186" s="727"/>
      <c r="I1186" s="727"/>
      <c r="J1186" s="728"/>
      <c r="K1186" s="727"/>
      <c r="L1186" s="728"/>
      <c r="M1186" s="729"/>
      <c r="N1186" s="730"/>
      <c r="O1186" s="730"/>
      <c r="P1186" s="730"/>
      <c r="Q1186" s="731"/>
      <c r="S1186" s="88"/>
      <c r="T1186" s="88"/>
    </row>
    <row r="1187" spans="1:20" ht="12.75" customHeight="1">
      <c r="A1187" s="950"/>
      <c r="B1187" s="725">
        <v>9</v>
      </c>
      <c r="C1187" s="732"/>
      <c r="D1187" s="725"/>
      <c r="E1187" s="725"/>
      <c r="F1187" s="727"/>
      <c r="G1187" s="727"/>
      <c r="H1187" s="727"/>
      <c r="I1187" s="727"/>
      <c r="J1187" s="728"/>
      <c r="K1187" s="727"/>
      <c r="L1187" s="728"/>
      <c r="M1187" s="729"/>
      <c r="N1187" s="730"/>
      <c r="O1187" s="733"/>
      <c r="P1187" s="730"/>
      <c r="Q1187" s="731"/>
      <c r="S1187" s="88"/>
      <c r="T1187" s="88"/>
    </row>
    <row r="1188" spans="1:20" ht="13.5" customHeight="1" thickBot="1">
      <c r="A1188" s="951"/>
      <c r="B1188" s="734"/>
      <c r="C1188" s="735"/>
      <c r="D1188" s="736"/>
      <c r="E1188" s="736"/>
      <c r="F1188" s="737"/>
      <c r="G1188" s="737"/>
      <c r="H1188" s="737"/>
      <c r="I1188" s="737"/>
      <c r="J1188" s="738"/>
      <c r="K1188" s="737"/>
      <c r="L1188" s="738"/>
      <c r="M1188" s="739"/>
      <c r="N1188" s="740"/>
      <c r="O1188" s="741"/>
      <c r="P1188" s="740"/>
      <c r="Q1188" s="742"/>
      <c r="S1188" s="88"/>
      <c r="T1188" s="88"/>
    </row>
    <row r="1189" spans="1:20" ht="12.75">
      <c r="A1189" s="963" t="s">
        <v>30</v>
      </c>
      <c r="B1189" s="123">
        <v>1</v>
      </c>
      <c r="C1189" s="215" t="s">
        <v>930</v>
      </c>
      <c r="D1189" s="217">
        <v>45</v>
      </c>
      <c r="E1189" s="217" t="s">
        <v>257</v>
      </c>
      <c r="F1189" s="222">
        <f>+G1189+H1189+I1189</f>
        <v>65.69868</v>
      </c>
      <c r="G1189" s="313">
        <v>3.621255</v>
      </c>
      <c r="H1189" s="313">
        <v>6.56</v>
      </c>
      <c r="I1189" s="313">
        <v>55.517425</v>
      </c>
      <c r="J1189" s="276">
        <v>2330.8</v>
      </c>
      <c r="K1189" s="313">
        <v>55.517425</v>
      </c>
      <c r="L1189" s="390">
        <v>2330.8</v>
      </c>
      <c r="M1189" s="209">
        <f>K1189/L1189</f>
        <v>0.023819042817916594</v>
      </c>
      <c r="N1189" s="220">
        <v>277.732</v>
      </c>
      <c r="O1189" s="208">
        <f>M1189*N1189</f>
        <v>6.615310399905612</v>
      </c>
      <c r="P1189" s="208">
        <f>M1189*60*1000</f>
        <v>1429.1425690749957</v>
      </c>
      <c r="Q1189" s="210">
        <f>P1189*N1189/1000</f>
        <v>396.91862399433677</v>
      </c>
      <c r="S1189" s="88"/>
      <c r="T1189" s="88"/>
    </row>
    <row r="1190" spans="1:20" ht="12.75">
      <c r="A1190" s="938"/>
      <c r="B1190" s="124">
        <v>2</v>
      </c>
      <c r="C1190" s="205" t="s">
        <v>931</v>
      </c>
      <c r="D1190" s="135">
        <v>45</v>
      </c>
      <c r="E1190" s="135" t="s">
        <v>257</v>
      </c>
      <c r="F1190" s="222">
        <f>+G1190+H1190+I1190</f>
        <v>66.59990400000001</v>
      </c>
      <c r="G1190" s="222">
        <v>2.764608</v>
      </c>
      <c r="H1190" s="222">
        <v>6.8</v>
      </c>
      <c r="I1190" s="222">
        <v>57.035296</v>
      </c>
      <c r="J1190" s="277">
        <v>2338.95</v>
      </c>
      <c r="K1190" s="222">
        <v>57.035296</v>
      </c>
      <c r="L1190" s="277">
        <v>2338.95</v>
      </c>
      <c r="M1190" s="146">
        <f>K1190/L1190</f>
        <v>0.02438500010688557</v>
      </c>
      <c r="N1190" s="147">
        <v>277.732</v>
      </c>
      <c r="O1190" s="148">
        <f>M1190*N1190</f>
        <v>6.772494849685544</v>
      </c>
      <c r="P1190" s="208">
        <f>M1190*60*1000</f>
        <v>1463.1000064131342</v>
      </c>
      <c r="Q1190" s="149">
        <f>P1190*N1190/1000</f>
        <v>406.3496909811326</v>
      </c>
      <c r="S1190" s="88"/>
      <c r="T1190" s="88"/>
    </row>
    <row r="1191" spans="1:20" ht="12.75">
      <c r="A1191" s="938"/>
      <c r="B1191" s="124">
        <v>3</v>
      </c>
      <c r="C1191" s="205" t="s">
        <v>932</v>
      </c>
      <c r="D1191" s="135">
        <v>8</v>
      </c>
      <c r="E1191" s="135" t="s">
        <v>257</v>
      </c>
      <c r="F1191" s="222">
        <f>+G1191+H1191+I1191</f>
        <v>9.953539</v>
      </c>
      <c r="G1191" s="222">
        <v>0</v>
      </c>
      <c r="H1191" s="222">
        <v>0</v>
      </c>
      <c r="I1191" s="222">
        <v>9.953539</v>
      </c>
      <c r="J1191" s="277">
        <v>399.58</v>
      </c>
      <c r="K1191" s="222">
        <v>9.953539</v>
      </c>
      <c r="L1191" s="277">
        <v>399.58</v>
      </c>
      <c r="M1191" s="146">
        <f>K1191/L1191</f>
        <v>0.02491000300315331</v>
      </c>
      <c r="N1191" s="147">
        <v>277.732</v>
      </c>
      <c r="O1191" s="148">
        <f>M1191*N1191</f>
        <v>6.918304954071776</v>
      </c>
      <c r="P1191" s="208">
        <f>M1191*60*1000</f>
        <v>1494.6001801891987</v>
      </c>
      <c r="Q1191" s="149">
        <f>P1191*N1191/1000</f>
        <v>415.0982972443066</v>
      </c>
      <c r="S1191" s="88"/>
      <c r="T1191" s="88"/>
    </row>
    <row r="1192" spans="1:20" ht="12.75">
      <c r="A1192" s="938"/>
      <c r="B1192" s="124">
        <v>4</v>
      </c>
      <c r="C1192" s="205" t="s">
        <v>933</v>
      </c>
      <c r="D1192" s="135">
        <v>41</v>
      </c>
      <c r="E1192" s="135" t="s">
        <v>257</v>
      </c>
      <c r="F1192" s="222">
        <f>+G1192+H1192+I1192</f>
        <v>66.098024</v>
      </c>
      <c r="G1192" s="222">
        <v>3.06592</v>
      </c>
      <c r="H1192" s="222">
        <v>6.32</v>
      </c>
      <c r="I1192" s="222">
        <v>56.712104</v>
      </c>
      <c r="J1192" s="277">
        <v>2253.49</v>
      </c>
      <c r="K1192" s="222">
        <v>56.712104</v>
      </c>
      <c r="L1192" s="277">
        <v>2253.49</v>
      </c>
      <c r="M1192" s="146">
        <f>K1192/L1192</f>
        <v>0.025166343760123187</v>
      </c>
      <c r="N1192" s="147">
        <v>277.732</v>
      </c>
      <c r="O1192" s="148">
        <f>M1192*N1192</f>
        <v>6.9894989851865335</v>
      </c>
      <c r="P1192" s="208">
        <f>M1192*60*1000</f>
        <v>1509.9806256073914</v>
      </c>
      <c r="Q1192" s="149">
        <f>P1192*N1192/1000</f>
        <v>419.3699391111921</v>
      </c>
      <c r="S1192" s="88"/>
      <c r="T1192" s="88"/>
    </row>
    <row r="1193" spans="1:20" ht="12.75">
      <c r="A1193" s="938"/>
      <c r="B1193" s="124">
        <v>5</v>
      </c>
      <c r="C1193" s="205" t="s">
        <v>934</v>
      </c>
      <c r="D1193" s="135">
        <v>20</v>
      </c>
      <c r="E1193" s="135" t="s">
        <v>257</v>
      </c>
      <c r="F1193" s="222">
        <f>+G1193+H1193+I1193</f>
        <v>27.811065</v>
      </c>
      <c r="G1193" s="222">
        <v>0</v>
      </c>
      <c r="H1193" s="222">
        <v>0</v>
      </c>
      <c r="I1193" s="222">
        <v>27.811065</v>
      </c>
      <c r="J1193" s="277">
        <v>1097.3</v>
      </c>
      <c r="K1193" s="222">
        <v>27.811065</v>
      </c>
      <c r="L1193" s="277">
        <v>1097.3</v>
      </c>
      <c r="M1193" s="146">
        <f>K1193/L1193</f>
        <v>0.025344996810352686</v>
      </c>
      <c r="N1193" s="147">
        <v>277.732</v>
      </c>
      <c r="O1193" s="148">
        <f>M1193*N1193</f>
        <v>7.039116654132873</v>
      </c>
      <c r="P1193" s="208">
        <f>M1193*60*1000</f>
        <v>1520.699808621161</v>
      </c>
      <c r="Q1193" s="149">
        <f>P1193*N1193/1000</f>
        <v>422.34699924797235</v>
      </c>
      <c r="S1193" s="88"/>
      <c r="T1193" s="88"/>
    </row>
    <row r="1194" spans="1:20" ht="12.75">
      <c r="A1194" s="938"/>
      <c r="B1194" s="124">
        <v>6</v>
      </c>
      <c r="C1194" s="224"/>
      <c r="D1194" s="135"/>
      <c r="E1194" s="135"/>
      <c r="F1194" s="222"/>
      <c r="G1194" s="222"/>
      <c r="H1194" s="222"/>
      <c r="I1194" s="222"/>
      <c r="J1194" s="277"/>
      <c r="K1194" s="222"/>
      <c r="L1194" s="277"/>
      <c r="M1194" s="146"/>
      <c r="N1194" s="147"/>
      <c r="O1194" s="148"/>
      <c r="P1194" s="148"/>
      <c r="Q1194" s="149"/>
      <c r="S1194" s="88"/>
      <c r="T1194" s="88"/>
    </row>
    <row r="1195" spans="1:20" ht="12.75">
      <c r="A1195" s="938"/>
      <c r="B1195" s="124">
        <v>7</v>
      </c>
      <c r="C1195" s="224"/>
      <c r="D1195" s="135"/>
      <c r="E1195" s="135"/>
      <c r="F1195" s="222"/>
      <c r="G1195" s="222"/>
      <c r="H1195" s="222"/>
      <c r="I1195" s="222"/>
      <c r="J1195" s="277"/>
      <c r="K1195" s="222"/>
      <c r="L1195" s="277"/>
      <c r="M1195" s="146"/>
      <c r="N1195" s="147"/>
      <c r="O1195" s="148"/>
      <c r="P1195" s="148"/>
      <c r="Q1195" s="149"/>
      <c r="S1195" s="88"/>
      <c r="T1195" s="88"/>
    </row>
    <row r="1196" spans="1:20" ht="12.75">
      <c r="A1196" s="938"/>
      <c r="B1196" s="124">
        <v>8</v>
      </c>
      <c r="C1196" s="224"/>
      <c r="D1196" s="135"/>
      <c r="E1196" s="135"/>
      <c r="F1196" s="222"/>
      <c r="G1196" s="222"/>
      <c r="H1196" s="222"/>
      <c r="I1196" s="222"/>
      <c r="J1196" s="277"/>
      <c r="K1196" s="222"/>
      <c r="L1196" s="277"/>
      <c r="M1196" s="146"/>
      <c r="N1196" s="147"/>
      <c r="O1196" s="148"/>
      <c r="P1196" s="148"/>
      <c r="Q1196" s="149"/>
      <c r="S1196" s="88"/>
      <c r="T1196" s="88"/>
    </row>
    <row r="1197" spans="1:20" ht="12.75">
      <c r="A1197" s="939"/>
      <c r="B1197" s="266">
        <v>9</v>
      </c>
      <c r="C1197" s="224"/>
      <c r="D1197" s="135"/>
      <c r="E1197" s="135"/>
      <c r="F1197" s="222"/>
      <c r="G1197" s="222"/>
      <c r="H1197" s="222"/>
      <c r="I1197" s="222"/>
      <c r="J1197" s="277"/>
      <c r="K1197" s="222"/>
      <c r="L1197" s="277"/>
      <c r="M1197" s="146"/>
      <c r="N1197" s="147"/>
      <c r="O1197" s="148"/>
      <c r="P1197" s="148"/>
      <c r="Q1197" s="149"/>
      <c r="S1197" s="88"/>
      <c r="T1197" s="88"/>
    </row>
    <row r="1198" spans="1:20" ht="13.5" thickBot="1">
      <c r="A1198" s="939"/>
      <c r="B1198" s="266">
        <v>10</v>
      </c>
      <c r="C1198" s="372"/>
      <c r="D1198" s="136"/>
      <c r="E1198" s="136"/>
      <c r="F1198" s="312"/>
      <c r="G1198" s="312"/>
      <c r="H1198" s="312"/>
      <c r="I1198" s="312"/>
      <c r="J1198" s="278"/>
      <c r="K1198" s="312"/>
      <c r="L1198" s="278"/>
      <c r="M1198" s="211"/>
      <c r="N1198" s="221"/>
      <c r="O1198" s="212"/>
      <c r="P1198" s="212"/>
      <c r="Q1198" s="213"/>
      <c r="S1198" s="88"/>
      <c r="T1198" s="88"/>
    </row>
    <row r="1199" spans="1:20" ht="12.75">
      <c r="A1199" s="964" t="s">
        <v>12</v>
      </c>
      <c r="B1199" s="125">
        <v>1</v>
      </c>
      <c r="C1199" s="166" t="s">
        <v>935</v>
      </c>
      <c r="D1199" s="167">
        <v>22</v>
      </c>
      <c r="E1199" s="167" t="s">
        <v>257</v>
      </c>
      <c r="F1199" s="218">
        <f aca="true" t="shared" si="188" ref="F1199:F1206">+G1199+H1199+I1199</f>
        <v>30.880856</v>
      </c>
      <c r="G1199" s="250">
        <v>0</v>
      </c>
      <c r="H1199" s="250">
        <v>0</v>
      </c>
      <c r="I1199" s="250">
        <v>30.880856</v>
      </c>
      <c r="J1199" s="274">
        <v>896.07</v>
      </c>
      <c r="K1199" s="250">
        <v>30.880856</v>
      </c>
      <c r="L1199" s="391">
        <v>896.07</v>
      </c>
      <c r="M1199" s="170">
        <f aca="true" t="shared" si="189" ref="M1199:M1206">K1199/L1199</f>
        <v>0.03446254868481257</v>
      </c>
      <c r="N1199" s="168">
        <v>277.732</v>
      </c>
      <c r="O1199" s="171">
        <f aca="true" t="shared" si="190" ref="O1199:O1206">M1199*N1199</f>
        <v>9.571352571330365</v>
      </c>
      <c r="P1199" s="171">
        <f aca="true" t="shared" si="191" ref="P1199:P1206">M1199*60*1000</f>
        <v>2067.752921088754</v>
      </c>
      <c r="Q1199" s="172">
        <f aca="true" t="shared" si="192" ref="Q1199:Q1206">P1199*N1199/1000</f>
        <v>574.2811542798219</v>
      </c>
      <c r="S1199" s="88"/>
      <c r="T1199" s="88"/>
    </row>
    <row r="1200" spans="1:20" ht="12.75">
      <c r="A1200" s="965"/>
      <c r="B1200" s="40">
        <v>2</v>
      </c>
      <c r="C1200" s="169" t="s">
        <v>936</v>
      </c>
      <c r="D1200" s="137">
        <v>24</v>
      </c>
      <c r="E1200" s="137" t="s">
        <v>257</v>
      </c>
      <c r="F1200" s="218">
        <f t="shared" si="188"/>
        <v>42.389086000000006</v>
      </c>
      <c r="G1200" s="218">
        <v>1.9832</v>
      </c>
      <c r="H1200" s="218">
        <v>1.646614</v>
      </c>
      <c r="I1200" s="218">
        <v>38.759272</v>
      </c>
      <c r="J1200" s="275">
        <v>1071.29</v>
      </c>
      <c r="K1200" s="218">
        <v>38.759272</v>
      </c>
      <c r="L1200" s="275">
        <v>1071.29</v>
      </c>
      <c r="M1200" s="150">
        <f t="shared" si="189"/>
        <v>0.036179999813309195</v>
      </c>
      <c r="N1200" s="151">
        <v>277.732</v>
      </c>
      <c r="O1200" s="152">
        <f t="shared" si="190"/>
        <v>10.048343708149991</v>
      </c>
      <c r="P1200" s="171">
        <f t="shared" si="191"/>
        <v>2170.7999887985516</v>
      </c>
      <c r="Q1200" s="153">
        <f t="shared" si="192"/>
        <v>602.9006224889994</v>
      </c>
      <c r="S1200" s="88"/>
      <c r="T1200" s="88"/>
    </row>
    <row r="1201" spans="1:20" ht="12.75">
      <c r="A1201" s="965"/>
      <c r="B1201" s="40">
        <v>3</v>
      </c>
      <c r="C1201" s="169" t="s">
        <v>937</v>
      </c>
      <c r="D1201" s="137">
        <v>12</v>
      </c>
      <c r="E1201" s="137" t="s">
        <v>257</v>
      </c>
      <c r="F1201" s="218">
        <f t="shared" si="188"/>
        <v>22.318037</v>
      </c>
      <c r="G1201" s="218">
        <v>0.4824</v>
      </c>
      <c r="H1201" s="218">
        <v>1.031615</v>
      </c>
      <c r="I1201" s="218">
        <v>20.804022</v>
      </c>
      <c r="J1201" s="275">
        <v>529.87</v>
      </c>
      <c r="K1201" s="218">
        <v>20.804022</v>
      </c>
      <c r="L1201" s="275">
        <v>529.87</v>
      </c>
      <c r="M1201" s="150">
        <f t="shared" si="189"/>
        <v>0.039262502123162284</v>
      </c>
      <c r="N1201" s="151">
        <v>277.732</v>
      </c>
      <c r="O1201" s="152">
        <f t="shared" si="190"/>
        <v>10.904453239670108</v>
      </c>
      <c r="P1201" s="171">
        <f t="shared" si="191"/>
        <v>2355.750127389737</v>
      </c>
      <c r="Q1201" s="153">
        <f t="shared" si="192"/>
        <v>654.2671943802065</v>
      </c>
      <c r="S1201" s="88"/>
      <c r="T1201" s="88"/>
    </row>
    <row r="1202" spans="1:20" ht="12.75">
      <c r="A1202" s="965"/>
      <c r="B1202" s="40">
        <v>4</v>
      </c>
      <c r="C1202" s="169" t="s">
        <v>938</v>
      </c>
      <c r="D1202" s="137">
        <v>12</v>
      </c>
      <c r="E1202" s="137" t="s">
        <v>257</v>
      </c>
      <c r="F1202" s="218">
        <f t="shared" si="188"/>
        <v>23.820183</v>
      </c>
      <c r="G1202" s="218">
        <v>0.58424</v>
      </c>
      <c r="H1202" s="218">
        <v>0.386853</v>
      </c>
      <c r="I1202" s="218">
        <v>22.84909</v>
      </c>
      <c r="J1202" s="275">
        <v>543.67</v>
      </c>
      <c r="K1202" s="218">
        <v>22.84909</v>
      </c>
      <c r="L1202" s="275">
        <v>543.67</v>
      </c>
      <c r="M1202" s="150">
        <f t="shared" si="189"/>
        <v>0.04202749829860026</v>
      </c>
      <c r="N1202" s="151">
        <v>277.73</v>
      </c>
      <c r="O1202" s="152">
        <f t="shared" si="190"/>
        <v>11.672297102470251</v>
      </c>
      <c r="P1202" s="171">
        <f t="shared" si="191"/>
        <v>2521.6498979160156</v>
      </c>
      <c r="Q1202" s="153">
        <f t="shared" si="192"/>
        <v>700.3378261482151</v>
      </c>
      <c r="S1202" s="88"/>
      <c r="T1202" s="88"/>
    </row>
    <row r="1203" spans="1:20" ht="12.75">
      <c r="A1203" s="965"/>
      <c r="B1203" s="40">
        <v>5</v>
      </c>
      <c r="C1203" s="169" t="s">
        <v>939</v>
      </c>
      <c r="D1203" s="137">
        <v>4</v>
      </c>
      <c r="E1203" s="137" t="s">
        <v>257</v>
      </c>
      <c r="F1203" s="218">
        <f t="shared" si="188"/>
        <v>9.135225</v>
      </c>
      <c r="G1203" s="218">
        <v>0</v>
      </c>
      <c r="H1203" s="218">
        <v>0</v>
      </c>
      <c r="I1203" s="218">
        <v>9.135225</v>
      </c>
      <c r="J1203" s="275">
        <v>215.95</v>
      </c>
      <c r="K1203" s="218">
        <v>9.135225</v>
      </c>
      <c r="L1203" s="275">
        <v>215.95</v>
      </c>
      <c r="M1203" s="150">
        <f t="shared" si="189"/>
        <v>0.0423025005788377</v>
      </c>
      <c r="N1203" s="151">
        <v>277.732</v>
      </c>
      <c r="O1203" s="152">
        <f t="shared" si="190"/>
        <v>11.748758090761752</v>
      </c>
      <c r="P1203" s="171">
        <f t="shared" si="191"/>
        <v>2538.150034730262</v>
      </c>
      <c r="Q1203" s="153">
        <f t="shared" si="192"/>
        <v>704.9254854457052</v>
      </c>
      <c r="S1203" s="88"/>
      <c r="T1203" s="88"/>
    </row>
    <row r="1204" spans="1:20" ht="12.75">
      <c r="A1204" s="965"/>
      <c r="B1204" s="40">
        <v>6</v>
      </c>
      <c r="C1204" s="169" t="s">
        <v>940</v>
      </c>
      <c r="D1204" s="137">
        <v>6</v>
      </c>
      <c r="E1204" s="137" t="s">
        <v>257</v>
      </c>
      <c r="F1204" s="218">
        <f t="shared" si="188"/>
        <v>6.758492</v>
      </c>
      <c r="G1204" s="218">
        <v>0.02805</v>
      </c>
      <c r="H1204" s="218">
        <v>0.019838</v>
      </c>
      <c r="I1204" s="218">
        <v>6.710604</v>
      </c>
      <c r="J1204" s="275">
        <v>157.5</v>
      </c>
      <c r="K1204" s="218">
        <v>6.710604</v>
      </c>
      <c r="L1204" s="275">
        <v>157.5</v>
      </c>
      <c r="M1204" s="150">
        <f t="shared" si="189"/>
        <v>0.042607009523809525</v>
      </c>
      <c r="N1204" s="151">
        <v>277.732</v>
      </c>
      <c r="O1204" s="152">
        <f t="shared" si="190"/>
        <v>11.833329969066668</v>
      </c>
      <c r="P1204" s="171">
        <f t="shared" si="191"/>
        <v>2556.4205714285713</v>
      </c>
      <c r="Q1204" s="153">
        <f t="shared" si="192"/>
        <v>709.999798144</v>
      </c>
      <c r="S1204" s="88"/>
      <c r="T1204" s="88"/>
    </row>
    <row r="1205" spans="1:20" ht="12.75">
      <c r="A1205" s="965"/>
      <c r="B1205" s="40">
        <v>7</v>
      </c>
      <c r="C1205" s="169" t="s">
        <v>941</v>
      </c>
      <c r="D1205" s="137">
        <v>4</v>
      </c>
      <c r="E1205" s="137" t="s">
        <v>257</v>
      </c>
      <c r="F1205" s="218">
        <f t="shared" si="188"/>
        <v>9.748853</v>
      </c>
      <c r="G1205" s="218">
        <v>0</v>
      </c>
      <c r="H1205" s="218">
        <v>0</v>
      </c>
      <c r="I1205" s="218">
        <v>9.748853</v>
      </c>
      <c r="J1205" s="275">
        <v>228.07</v>
      </c>
      <c r="K1205" s="218">
        <v>9.748853</v>
      </c>
      <c r="L1205" s="275">
        <v>228.07</v>
      </c>
      <c r="M1205" s="150">
        <f t="shared" si="189"/>
        <v>0.04274500372692595</v>
      </c>
      <c r="N1205" s="151">
        <v>277.732</v>
      </c>
      <c r="O1205" s="152">
        <f t="shared" si="190"/>
        <v>11.871655375086599</v>
      </c>
      <c r="P1205" s="171">
        <f t="shared" si="191"/>
        <v>2564.7002236155568</v>
      </c>
      <c r="Q1205" s="153">
        <f t="shared" si="192"/>
        <v>712.2993225051958</v>
      </c>
      <c r="S1205" s="88"/>
      <c r="T1205" s="88"/>
    </row>
    <row r="1206" spans="1:20" ht="12.75">
      <c r="A1206" s="965"/>
      <c r="B1206" s="40">
        <v>8</v>
      </c>
      <c r="C1206" s="169" t="s">
        <v>942</v>
      </c>
      <c r="D1206" s="137">
        <v>5</v>
      </c>
      <c r="E1206" s="137" t="s">
        <v>257</v>
      </c>
      <c r="F1206" s="218">
        <f t="shared" si="188"/>
        <v>7.729915</v>
      </c>
      <c r="G1206" s="218">
        <v>0</v>
      </c>
      <c r="H1206" s="218">
        <v>0</v>
      </c>
      <c r="I1206" s="218">
        <v>7.729915</v>
      </c>
      <c r="J1206" s="275">
        <v>176.04</v>
      </c>
      <c r="K1206" s="218">
        <v>7.729915</v>
      </c>
      <c r="L1206" s="275">
        <v>176.04</v>
      </c>
      <c r="M1206" s="150">
        <f t="shared" si="189"/>
        <v>0.04390999204726199</v>
      </c>
      <c r="N1206" s="151">
        <v>277.732</v>
      </c>
      <c r="O1206" s="152">
        <f t="shared" si="190"/>
        <v>12.195209911270167</v>
      </c>
      <c r="P1206" s="171">
        <f t="shared" si="191"/>
        <v>2634.599522835719</v>
      </c>
      <c r="Q1206" s="153">
        <f t="shared" si="192"/>
        <v>731.7125946762101</v>
      </c>
      <c r="S1206" s="88"/>
      <c r="T1206" s="88"/>
    </row>
    <row r="1207" spans="1:20" ht="12.75">
      <c r="A1207" s="965"/>
      <c r="B1207" s="40">
        <v>9</v>
      </c>
      <c r="C1207" s="225"/>
      <c r="D1207" s="137"/>
      <c r="E1207" s="137"/>
      <c r="F1207" s="218"/>
      <c r="G1207" s="218"/>
      <c r="H1207" s="218"/>
      <c r="I1207" s="218"/>
      <c r="J1207" s="275"/>
      <c r="K1207" s="386"/>
      <c r="L1207" s="207"/>
      <c r="M1207" s="150"/>
      <c r="N1207" s="151"/>
      <c r="O1207" s="152"/>
      <c r="P1207" s="152"/>
      <c r="Q1207" s="153"/>
      <c r="S1207" s="88"/>
      <c r="T1207" s="88"/>
    </row>
    <row r="1208" spans="1:20" ht="13.5" thickBot="1">
      <c r="A1208" s="966"/>
      <c r="B1208" s="45">
        <v>10</v>
      </c>
      <c r="C1208" s="73"/>
      <c r="D1208" s="45"/>
      <c r="E1208" s="45"/>
      <c r="F1208" s="56"/>
      <c r="G1208" s="56"/>
      <c r="H1208" s="56"/>
      <c r="I1208" s="56"/>
      <c r="J1208" s="57"/>
      <c r="K1208" s="56"/>
      <c r="L1208" s="57"/>
      <c r="M1208" s="80"/>
      <c r="N1208" s="51"/>
      <c r="O1208" s="56"/>
      <c r="P1208" s="56"/>
      <c r="Q1208" s="54"/>
      <c r="S1208" s="88"/>
      <c r="T1208" s="88"/>
    </row>
    <row r="1209" spans="19:20" ht="13.5" customHeight="1">
      <c r="S1209" s="88"/>
      <c r="T1209" s="88"/>
    </row>
    <row r="1210" spans="19:20" ht="13.5" customHeight="1">
      <c r="S1210" s="88"/>
      <c r="T1210" s="88"/>
    </row>
    <row r="1211" spans="19:20" ht="12.75">
      <c r="S1211" s="88"/>
      <c r="T1211" s="88"/>
    </row>
    <row r="1212" spans="19:20" ht="12.75">
      <c r="S1212" s="88"/>
      <c r="T1212" s="88"/>
    </row>
    <row r="1213" spans="19:20" ht="12.75">
      <c r="S1213" s="88"/>
      <c r="T1213" s="88"/>
    </row>
    <row r="1214" spans="19:20" ht="12.75">
      <c r="S1214" s="88"/>
      <c r="T1214" s="88"/>
    </row>
    <row r="1215" spans="1:20" ht="15">
      <c r="A1215" s="967" t="s">
        <v>399</v>
      </c>
      <c r="B1215" s="967"/>
      <c r="C1215" s="967"/>
      <c r="D1215" s="967"/>
      <c r="E1215" s="967"/>
      <c r="F1215" s="967"/>
      <c r="G1215" s="967"/>
      <c r="H1215" s="967"/>
      <c r="I1215" s="967"/>
      <c r="J1215" s="967"/>
      <c r="K1215" s="967"/>
      <c r="L1215" s="967"/>
      <c r="M1215" s="967"/>
      <c r="N1215" s="967"/>
      <c r="O1215" s="967"/>
      <c r="P1215" s="967"/>
      <c r="Q1215" s="967"/>
      <c r="S1215" s="88"/>
      <c r="T1215" s="88"/>
    </row>
    <row r="1216" spans="1:20" ht="13.5" thickBot="1">
      <c r="A1216" s="968" t="s">
        <v>870</v>
      </c>
      <c r="B1216" s="968"/>
      <c r="C1216" s="968"/>
      <c r="D1216" s="968"/>
      <c r="E1216" s="968"/>
      <c r="F1216" s="968"/>
      <c r="G1216" s="968"/>
      <c r="H1216" s="968"/>
      <c r="I1216" s="968"/>
      <c r="J1216" s="968"/>
      <c r="K1216" s="968"/>
      <c r="L1216" s="968"/>
      <c r="M1216" s="968"/>
      <c r="N1216" s="968"/>
      <c r="O1216" s="968"/>
      <c r="P1216" s="968"/>
      <c r="Q1216" s="968"/>
      <c r="S1216" s="88"/>
      <c r="T1216" s="88"/>
    </row>
    <row r="1217" spans="1:20" ht="12.75" customHeight="1">
      <c r="A1217" s="952" t="s">
        <v>1</v>
      </c>
      <c r="B1217" s="955" t="s">
        <v>0</v>
      </c>
      <c r="C1217" s="944" t="s">
        <v>2</v>
      </c>
      <c r="D1217" s="944" t="s">
        <v>3</v>
      </c>
      <c r="E1217" s="944" t="s">
        <v>13</v>
      </c>
      <c r="F1217" s="960" t="s">
        <v>14</v>
      </c>
      <c r="G1217" s="961"/>
      <c r="H1217" s="961"/>
      <c r="I1217" s="962"/>
      <c r="J1217" s="944" t="s">
        <v>4</v>
      </c>
      <c r="K1217" s="944" t="s">
        <v>15</v>
      </c>
      <c r="L1217" s="944" t="s">
        <v>5</v>
      </c>
      <c r="M1217" s="944" t="s">
        <v>6</v>
      </c>
      <c r="N1217" s="944" t="s">
        <v>16</v>
      </c>
      <c r="O1217" s="969" t="s">
        <v>17</v>
      </c>
      <c r="P1217" s="944" t="s">
        <v>25</v>
      </c>
      <c r="Q1217" s="929" t="s">
        <v>26</v>
      </c>
      <c r="S1217" s="88"/>
      <c r="T1217" s="88"/>
    </row>
    <row r="1218" spans="1:20" s="2" customFormat="1" ht="33.75">
      <c r="A1218" s="953"/>
      <c r="B1218" s="956"/>
      <c r="C1218" s="958"/>
      <c r="D1218" s="945"/>
      <c r="E1218" s="945"/>
      <c r="F1218" s="37" t="s">
        <v>18</v>
      </c>
      <c r="G1218" s="37" t="s">
        <v>19</v>
      </c>
      <c r="H1218" s="37" t="s">
        <v>20</v>
      </c>
      <c r="I1218" s="37" t="s">
        <v>21</v>
      </c>
      <c r="J1218" s="945"/>
      <c r="K1218" s="945"/>
      <c r="L1218" s="945"/>
      <c r="M1218" s="945"/>
      <c r="N1218" s="945"/>
      <c r="O1218" s="970"/>
      <c r="P1218" s="945"/>
      <c r="Q1218" s="930"/>
      <c r="R1218" s="1"/>
      <c r="S1218" s="88"/>
      <c r="T1218" s="88"/>
    </row>
    <row r="1219" spans="1:20" s="3" customFormat="1" ht="13.5" customHeight="1" thickBot="1">
      <c r="A1219" s="953"/>
      <c r="B1219" s="956"/>
      <c r="C1219" s="959"/>
      <c r="D1219" s="58" t="s">
        <v>7</v>
      </c>
      <c r="E1219" s="58" t="s">
        <v>8</v>
      </c>
      <c r="F1219" s="58" t="s">
        <v>9</v>
      </c>
      <c r="G1219" s="58" t="s">
        <v>9</v>
      </c>
      <c r="H1219" s="58" t="s">
        <v>9</v>
      </c>
      <c r="I1219" s="58" t="s">
        <v>9</v>
      </c>
      <c r="J1219" s="58" t="s">
        <v>22</v>
      </c>
      <c r="K1219" s="58" t="s">
        <v>9</v>
      </c>
      <c r="L1219" s="58" t="s">
        <v>22</v>
      </c>
      <c r="M1219" s="58" t="s">
        <v>134</v>
      </c>
      <c r="N1219" s="58" t="s">
        <v>10</v>
      </c>
      <c r="O1219" s="58" t="s">
        <v>135</v>
      </c>
      <c r="P1219" s="59" t="s">
        <v>27</v>
      </c>
      <c r="Q1219" s="60" t="s">
        <v>28</v>
      </c>
      <c r="R1219" s="2"/>
      <c r="S1219" s="88"/>
      <c r="T1219" s="88"/>
    </row>
    <row r="1220" spans="1:20" ht="12.75" customHeight="1">
      <c r="A1220" s="905" t="s">
        <v>11</v>
      </c>
      <c r="B1220" s="287">
        <v>1</v>
      </c>
      <c r="C1220" s="423" t="s">
        <v>483</v>
      </c>
      <c r="D1220" s="131">
        <f aca="true" t="shared" si="193" ref="D1220:D1227">H1220/0.16</f>
        <v>40</v>
      </c>
      <c r="E1220" s="131">
        <v>1974</v>
      </c>
      <c r="F1220" s="247">
        <f aca="true" t="shared" si="194" ref="F1220:F1228">SUM(G1220+H1220+I1220)</f>
        <v>27.669</v>
      </c>
      <c r="G1220" s="378">
        <v>4.976</v>
      </c>
      <c r="H1220" s="378">
        <v>6.4</v>
      </c>
      <c r="I1220" s="378">
        <v>16.293</v>
      </c>
      <c r="J1220" s="382">
        <v>2221.43</v>
      </c>
      <c r="K1220" s="378">
        <v>16.293</v>
      </c>
      <c r="L1220" s="382">
        <v>2221.43</v>
      </c>
      <c r="M1220" s="315">
        <f aca="true" t="shared" si="195" ref="M1220:M1228">K1220/L1220</f>
        <v>0.007334464736678626</v>
      </c>
      <c r="N1220" s="314">
        <v>275.22</v>
      </c>
      <c r="O1220" s="316">
        <f aca="true" t="shared" si="196" ref="O1220:O1228">M1220*N1220</f>
        <v>2.0185913848286914</v>
      </c>
      <c r="P1220" s="316">
        <f aca="true" t="shared" si="197" ref="P1220:P1228">M1220*60*1000</f>
        <v>440.0678842007176</v>
      </c>
      <c r="Q1220" s="203">
        <f aca="true" t="shared" si="198" ref="Q1220:Q1228">P1220*N1220/1000</f>
        <v>121.1154830897215</v>
      </c>
      <c r="R1220" s="3"/>
      <c r="S1220" s="88"/>
      <c r="T1220" s="88"/>
    </row>
    <row r="1221" spans="1:20" ht="12.75" customHeight="1">
      <c r="A1221" s="906"/>
      <c r="B1221" s="288">
        <v>2</v>
      </c>
      <c r="C1221" s="16" t="s">
        <v>871</v>
      </c>
      <c r="D1221" s="132">
        <f t="shared" si="193"/>
        <v>60</v>
      </c>
      <c r="E1221" s="132">
        <v>1966</v>
      </c>
      <c r="F1221" s="248">
        <f t="shared" si="194"/>
        <v>38.36</v>
      </c>
      <c r="G1221" s="130">
        <v>6.828</v>
      </c>
      <c r="H1221" s="130">
        <v>9.6</v>
      </c>
      <c r="I1221" s="130">
        <v>21.932</v>
      </c>
      <c r="J1221" s="187">
        <v>2700.79</v>
      </c>
      <c r="K1221" s="130">
        <v>21.932</v>
      </c>
      <c r="L1221" s="187">
        <v>2700.79</v>
      </c>
      <c r="M1221" s="141">
        <f t="shared" si="195"/>
        <v>0.008120586939376997</v>
      </c>
      <c r="N1221" s="142">
        <v>275.22</v>
      </c>
      <c r="O1221" s="143">
        <f t="shared" si="196"/>
        <v>2.2349479374553374</v>
      </c>
      <c r="P1221" s="164">
        <f t="shared" si="197"/>
        <v>487.23521636261984</v>
      </c>
      <c r="Q1221" s="144">
        <f t="shared" si="198"/>
        <v>134.09687624732024</v>
      </c>
      <c r="R1221" s="6"/>
      <c r="S1221" s="88"/>
      <c r="T1221" s="88"/>
    </row>
    <row r="1222" spans="1:20" ht="12.75">
      <c r="A1222" s="906"/>
      <c r="B1222" s="288">
        <v>3</v>
      </c>
      <c r="C1222" s="16" t="s">
        <v>872</v>
      </c>
      <c r="D1222" s="132">
        <f t="shared" si="193"/>
        <v>22</v>
      </c>
      <c r="E1222" s="132" t="s">
        <v>67</v>
      </c>
      <c r="F1222" s="248">
        <f t="shared" si="194"/>
        <v>17.259</v>
      </c>
      <c r="G1222" s="130">
        <v>3.534</v>
      </c>
      <c r="H1222" s="130">
        <v>3.52</v>
      </c>
      <c r="I1222" s="130">
        <v>10.205</v>
      </c>
      <c r="J1222" s="187">
        <v>1230.47</v>
      </c>
      <c r="K1222" s="130">
        <v>10.205</v>
      </c>
      <c r="L1222" s="187">
        <v>1230.47</v>
      </c>
      <c r="M1222" s="141">
        <f t="shared" si="195"/>
        <v>0.008293578876364316</v>
      </c>
      <c r="N1222" s="142">
        <v>275.22</v>
      </c>
      <c r="O1222" s="143">
        <f t="shared" si="196"/>
        <v>2.2825587783529873</v>
      </c>
      <c r="P1222" s="164">
        <f t="shared" si="197"/>
        <v>497.61473258185896</v>
      </c>
      <c r="Q1222" s="144">
        <f t="shared" si="198"/>
        <v>136.95352670117924</v>
      </c>
      <c r="R1222" s="6"/>
      <c r="S1222" s="88"/>
      <c r="T1222" s="88"/>
    </row>
    <row r="1223" spans="1:20" ht="12.75">
      <c r="A1223" s="906"/>
      <c r="B1223" s="288">
        <v>4</v>
      </c>
      <c r="C1223" s="16" t="s">
        <v>873</v>
      </c>
      <c r="D1223" s="132">
        <f t="shared" si="193"/>
        <v>45</v>
      </c>
      <c r="E1223" s="159" t="s">
        <v>67</v>
      </c>
      <c r="F1223" s="248">
        <f t="shared" si="194"/>
        <v>32.286</v>
      </c>
      <c r="G1223" s="130">
        <v>5.554</v>
      </c>
      <c r="H1223" s="130">
        <v>7.2</v>
      </c>
      <c r="I1223" s="130">
        <v>19.532</v>
      </c>
      <c r="J1223" s="187">
        <v>2324.67</v>
      </c>
      <c r="K1223" s="130">
        <v>19.532</v>
      </c>
      <c r="L1223" s="187">
        <v>2324.67</v>
      </c>
      <c r="M1223" s="141">
        <f t="shared" si="195"/>
        <v>0.008402052764478399</v>
      </c>
      <c r="N1223" s="142">
        <v>275.22</v>
      </c>
      <c r="O1223" s="143">
        <f t="shared" si="196"/>
        <v>2.3124129618397453</v>
      </c>
      <c r="P1223" s="164">
        <f t="shared" si="197"/>
        <v>504.123165868704</v>
      </c>
      <c r="Q1223" s="144">
        <f t="shared" si="198"/>
        <v>138.7447777103847</v>
      </c>
      <c r="R1223" s="6"/>
      <c r="S1223" s="88"/>
      <c r="T1223" s="88"/>
    </row>
    <row r="1224" spans="1:20" ht="12.75">
      <c r="A1224" s="906"/>
      <c r="B1224" s="288">
        <v>5</v>
      </c>
      <c r="C1224" s="16" t="s">
        <v>874</v>
      </c>
      <c r="D1224" s="132">
        <f t="shared" si="193"/>
        <v>60</v>
      </c>
      <c r="E1224" s="159">
        <v>1965</v>
      </c>
      <c r="F1224" s="248">
        <f t="shared" si="194"/>
        <v>38.674</v>
      </c>
      <c r="G1224" s="130">
        <v>6.379</v>
      </c>
      <c r="H1224" s="130">
        <v>9.6</v>
      </c>
      <c r="I1224" s="130">
        <v>22.695</v>
      </c>
      <c r="J1224" s="187">
        <v>2701.06</v>
      </c>
      <c r="K1224" s="130">
        <v>22.695</v>
      </c>
      <c r="L1224" s="187">
        <v>2701.06</v>
      </c>
      <c r="M1224" s="141">
        <f t="shared" si="195"/>
        <v>0.0084022568917388</v>
      </c>
      <c r="N1224" s="142">
        <v>275.22</v>
      </c>
      <c r="O1224" s="143">
        <f t="shared" si="196"/>
        <v>2.312469141744353</v>
      </c>
      <c r="P1224" s="164">
        <f t="shared" si="197"/>
        <v>504.135413504328</v>
      </c>
      <c r="Q1224" s="144">
        <f t="shared" si="198"/>
        <v>138.74814850466117</v>
      </c>
      <c r="R1224" s="6"/>
      <c r="S1224" s="88"/>
      <c r="T1224" s="88"/>
    </row>
    <row r="1225" spans="1:20" ht="12.75">
      <c r="A1225" s="906"/>
      <c r="B1225" s="288">
        <v>6</v>
      </c>
      <c r="C1225" s="16" t="s">
        <v>875</v>
      </c>
      <c r="D1225" s="132">
        <f t="shared" si="193"/>
        <v>40</v>
      </c>
      <c r="E1225" s="132" t="s">
        <v>67</v>
      </c>
      <c r="F1225" s="248">
        <f t="shared" si="194"/>
        <v>30.779000000000003</v>
      </c>
      <c r="G1225" s="130">
        <v>5.105</v>
      </c>
      <c r="H1225" s="130">
        <v>6.4</v>
      </c>
      <c r="I1225" s="130">
        <v>19.274</v>
      </c>
      <c r="J1225" s="187">
        <v>2270.57</v>
      </c>
      <c r="K1225" s="130">
        <v>19.274</v>
      </c>
      <c r="L1225" s="187">
        <v>2270.57</v>
      </c>
      <c r="M1225" s="141">
        <f t="shared" si="195"/>
        <v>0.008488617395631934</v>
      </c>
      <c r="N1225" s="142">
        <v>275.22</v>
      </c>
      <c r="O1225" s="143">
        <f t="shared" si="196"/>
        <v>2.3362372796258213</v>
      </c>
      <c r="P1225" s="164">
        <f t="shared" si="197"/>
        <v>509.317043737916</v>
      </c>
      <c r="Q1225" s="144">
        <f t="shared" si="198"/>
        <v>140.17423677754925</v>
      </c>
      <c r="R1225" s="6"/>
      <c r="S1225" s="88"/>
      <c r="T1225" s="88"/>
    </row>
    <row r="1226" spans="1:20" ht="12.75">
      <c r="A1226" s="906"/>
      <c r="B1226" s="288">
        <v>7</v>
      </c>
      <c r="C1226" s="16" t="s">
        <v>876</v>
      </c>
      <c r="D1226" s="132">
        <f t="shared" si="193"/>
        <v>60</v>
      </c>
      <c r="E1226" s="132">
        <v>1964</v>
      </c>
      <c r="F1226" s="248">
        <f t="shared" si="194"/>
        <v>39.836</v>
      </c>
      <c r="G1226" s="130">
        <v>5.778</v>
      </c>
      <c r="H1226" s="130">
        <v>9.6</v>
      </c>
      <c r="I1226" s="130">
        <v>24.458</v>
      </c>
      <c r="J1226" s="187">
        <v>2880.51</v>
      </c>
      <c r="K1226" s="130">
        <v>24.458</v>
      </c>
      <c r="L1226" s="187">
        <v>2880.51</v>
      </c>
      <c r="M1226" s="141">
        <f t="shared" si="195"/>
        <v>0.008490857521758299</v>
      </c>
      <c r="N1226" s="142">
        <v>275.22</v>
      </c>
      <c r="O1226" s="143">
        <f t="shared" si="196"/>
        <v>2.3368538071383194</v>
      </c>
      <c r="P1226" s="164">
        <f t="shared" si="197"/>
        <v>509.451451305498</v>
      </c>
      <c r="Q1226" s="144">
        <f t="shared" si="198"/>
        <v>140.21122842829917</v>
      </c>
      <c r="R1226" s="6"/>
      <c r="S1226" s="88"/>
      <c r="T1226" s="88"/>
    </row>
    <row r="1227" spans="1:20" ht="12.75">
      <c r="A1227" s="906"/>
      <c r="B1227" s="288">
        <v>8</v>
      </c>
      <c r="C1227" s="16" t="s">
        <v>400</v>
      </c>
      <c r="D1227" s="132">
        <f t="shared" si="193"/>
        <v>57.99999999999999</v>
      </c>
      <c r="E1227" s="132">
        <v>1964</v>
      </c>
      <c r="F1227" s="248">
        <f t="shared" si="194"/>
        <v>37.994</v>
      </c>
      <c r="G1227" s="130">
        <v>5.217</v>
      </c>
      <c r="H1227" s="130">
        <v>9.28</v>
      </c>
      <c r="I1227" s="130">
        <v>23.497</v>
      </c>
      <c r="J1227" s="187">
        <v>2766.66</v>
      </c>
      <c r="K1227" s="130">
        <v>23.497</v>
      </c>
      <c r="L1227" s="187">
        <v>2766.66</v>
      </c>
      <c r="M1227" s="141">
        <f t="shared" si="195"/>
        <v>0.008492912031113329</v>
      </c>
      <c r="N1227" s="142">
        <v>275.22</v>
      </c>
      <c r="O1227" s="143">
        <f t="shared" si="196"/>
        <v>2.337419249203011</v>
      </c>
      <c r="P1227" s="164">
        <f t="shared" si="197"/>
        <v>509.57472186679973</v>
      </c>
      <c r="Q1227" s="144">
        <f t="shared" si="198"/>
        <v>140.24515495218063</v>
      </c>
      <c r="S1227" s="88"/>
      <c r="T1227" s="88"/>
    </row>
    <row r="1228" spans="1:20" ht="12.75">
      <c r="A1228" s="906"/>
      <c r="B1228" s="288">
        <v>9</v>
      </c>
      <c r="C1228" s="16" t="s">
        <v>877</v>
      </c>
      <c r="D1228" s="132">
        <v>18</v>
      </c>
      <c r="E1228" s="132">
        <v>1987</v>
      </c>
      <c r="F1228" s="248">
        <f t="shared" si="194"/>
        <v>13.510000000000002</v>
      </c>
      <c r="G1228" s="130">
        <v>2.499</v>
      </c>
      <c r="H1228" s="130">
        <v>2.07</v>
      </c>
      <c r="I1228" s="130">
        <v>8.941</v>
      </c>
      <c r="J1228" s="187">
        <v>993.94</v>
      </c>
      <c r="K1228" s="130">
        <v>8.941</v>
      </c>
      <c r="L1228" s="187">
        <v>993.94</v>
      </c>
      <c r="M1228" s="141">
        <f t="shared" si="195"/>
        <v>0.008995512807614141</v>
      </c>
      <c r="N1228" s="142">
        <v>275.22</v>
      </c>
      <c r="O1228" s="143">
        <f t="shared" si="196"/>
        <v>2.475745034911564</v>
      </c>
      <c r="P1228" s="164">
        <f t="shared" si="197"/>
        <v>539.7307684568484</v>
      </c>
      <c r="Q1228" s="144">
        <f t="shared" si="198"/>
        <v>148.54470209469383</v>
      </c>
      <c r="S1228" s="88"/>
      <c r="T1228" s="88"/>
    </row>
    <row r="1229" spans="1:20" ht="13.5" thickBot="1">
      <c r="A1229" s="906"/>
      <c r="B1229" s="289">
        <v>10</v>
      </c>
      <c r="C1229" s="64"/>
      <c r="D1229" s="133"/>
      <c r="E1229" s="133"/>
      <c r="F1229" s="249"/>
      <c r="G1229" s="235"/>
      <c r="H1229" s="235"/>
      <c r="I1229" s="235"/>
      <c r="J1229" s="364"/>
      <c r="K1229" s="235"/>
      <c r="L1229" s="364"/>
      <c r="M1229" s="174"/>
      <c r="N1229" s="162"/>
      <c r="O1229" s="175"/>
      <c r="P1229" s="273"/>
      <c r="Q1229" s="165"/>
      <c r="S1229" s="88"/>
      <c r="T1229" s="88"/>
    </row>
    <row r="1230" spans="1:20" ht="12.75">
      <c r="A1230" s="907" t="s">
        <v>29</v>
      </c>
      <c r="B1230" s="1">
        <v>1</v>
      </c>
      <c r="C1230" s="529" t="s">
        <v>878</v>
      </c>
      <c r="D1230" s="285">
        <f>H1230/0.16</f>
        <v>45</v>
      </c>
      <c r="E1230" s="285">
        <v>1988</v>
      </c>
      <c r="F1230" s="527">
        <f aca="true" t="shared" si="199" ref="F1230:F1258">SUM(G1230+H1230+I1230)</f>
        <v>51.336</v>
      </c>
      <c r="G1230" s="647">
        <v>5.554</v>
      </c>
      <c r="H1230" s="647">
        <v>7.2</v>
      </c>
      <c r="I1230" s="648">
        <v>38.582</v>
      </c>
      <c r="J1230" s="637">
        <v>2326.6</v>
      </c>
      <c r="K1230" s="648">
        <v>38.582</v>
      </c>
      <c r="L1230" s="637">
        <v>2326.6</v>
      </c>
      <c r="M1230" s="323">
        <f aca="true" t="shared" si="200" ref="M1230:M1258">K1230/L1230</f>
        <v>0.01658299664746841</v>
      </c>
      <c r="N1230" s="324">
        <v>275.22</v>
      </c>
      <c r="O1230" s="259">
        <f aca="true" t="shared" si="201" ref="O1230:O1258">M1230*N1230</f>
        <v>4.563972337316256</v>
      </c>
      <c r="P1230" s="259">
        <f aca="true" t="shared" si="202" ref="P1230:P1258">M1230*60*1000</f>
        <v>994.9797988481047</v>
      </c>
      <c r="Q1230" s="325">
        <f aca="true" t="shared" si="203" ref="Q1230:Q1258">P1230*N1230/1000</f>
        <v>273.83834023897543</v>
      </c>
      <c r="S1230" s="88"/>
      <c r="T1230" s="88"/>
    </row>
    <row r="1231" spans="1:20" ht="12.75">
      <c r="A1231" s="908"/>
      <c r="B1231" s="288">
        <v>2</v>
      </c>
      <c r="C1231" s="184" t="s">
        <v>879</v>
      </c>
      <c r="D1231" s="163">
        <f>H1231/0.16</f>
        <v>45</v>
      </c>
      <c r="E1231" s="163">
        <v>1985</v>
      </c>
      <c r="F1231" s="422">
        <f t="shared" si="199"/>
        <v>50.45</v>
      </c>
      <c r="G1231" s="405">
        <v>4.6</v>
      </c>
      <c r="H1231" s="405">
        <v>7.2</v>
      </c>
      <c r="I1231" s="649">
        <v>38.65</v>
      </c>
      <c r="J1231" s="401">
        <v>2323.99</v>
      </c>
      <c r="K1231" s="649">
        <v>38.65</v>
      </c>
      <c r="L1231" s="401">
        <v>2323.99</v>
      </c>
      <c r="M1231" s="323">
        <f t="shared" si="200"/>
        <v>0.016630880511534045</v>
      </c>
      <c r="N1231" s="324">
        <v>275.22</v>
      </c>
      <c r="O1231" s="259">
        <f t="shared" si="201"/>
        <v>4.577150934384401</v>
      </c>
      <c r="P1231" s="259">
        <f t="shared" si="202"/>
        <v>997.8528306920426</v>
      </c>
      <c r="Q1231" s="325">
        <f t="shared" si="203"/>
        <v>274.629056063064</v>
      </c>
      <c r="S1231" s="88"/>
      <c r="T1231" s="88"/>
    </row>
    <row r="1232" spans="1:17" ht="11.25">
      <c r="A1232" s="908"/>
      <c r="B1232" s="288">
        <v>3</v>
      </c>
      <c r="C1232" s="184" t="s">
        <v>880</v>
      </c>
      <c r="D1232" s="163">
        <v>5</v>
      </c>
      <c r="E1232" s="163" t="s">
        <v>67</v>
      </c>
      <c r="F1232" s="422">
        <f t="shared" si="199"/>
        <v>5.873</v>
      </c>
      <c r="G1232" s="405">
        <v>0</v>
      </c>
      <c r="H1232" s="405">
        <v>0</v>
      </c>
      <c r="I1232" s="649">
        <v>5.873</v>
      </c>
      <c r="J1232" s="401">
        <v>351.84</v>
      </c>
      <c r="K1232" s="649">
        <v>5.873</v>
      </c>
      <c r="L1232" s="401">
        <v>351.84</v>
      </c>
      <c r="M1232" s="323">
        <f t="shared" si="200"/>
        <v>0.01669224647567076</v>
      </c>
      <c r="N1232" s="324">
        <v>275.22</v>
      </c>
      <c r="O1232" s="259">
        <f t="shared" si="201"/>
        <v>4.5940400750341075</v>
      </c>
      <c r="P1232" s="259">
        <f t="shared" si="202"/>
        <v>1001.5347885402457</v>
      </c>
      <c r="Q1232" s="327">
        <f t="shared" si="203"/>
        <v>275.6424045020465</v>
      </c>
    </row>
    <row r="1233" spans="1:17" ht="11.25">
      <c r="A1233" s="908"/>
      <c r="B1233" s="288">
        <v>4</v>
      </c>
      <c r="C1233" s="184" t="s">
        <v>881</v>
      </c>
      <c r="D1233" s="163">
        <v>45</v>
      </c>
      <c r="E1233" s="163">
        <v>1989</v>
      </c>
      <c r="F1233" s="422">
        <f t="shared" si="199"/>
        <v>54.81</v>
      </c>
      <c r="G1233" s="405">
        <v>9.144</v>
      </c>
      <c r="H1233" s="405">
        <v>6.735</v>
      </c>
      <c r="I1233" s="649">
        <v>38.931</v>
      </c>
      <c r="J1233" s="401">
        <v>2327.75</v>
      </c>
      <c r="K1233" s="649">
        <v>38.931</v>
      </c>
      <c r="L1233" s="401">
        <v>2327.75</v>
      </c>
      <c r="M1233" s="323">
        <f t="shared" si="200"/>
        <v>0.01672473418537214</v>
      </c>
      <c r="N1233" s="324">
        <v>275.22</v>
      </c>
      <c r="O1233" s="260">
        <f t="shared" si="201"/>
        <v>4.60298134249812</v>
      </c>
      <c r="P1233" s="259">
        <f t="shared" si="202"/>
        <v>1003.4840511223284</v>
      </c>
      <c r="Q1233" s="327">
        <f t="shared" si="203"/>
        <v>276.17888054988725</v>
      </c>
    </row>
    <row r="1234" spans="1:17" ht="11.25">
      <c r="A1234" s="908"/>
      <c r="B1234" s="288">
        <v>5</v>
      </c>
      <c r="C1234" s="184" t="s">
        <v>882</v>
      </c>
      <c r="D1234" s="163">
        <v>30</v>
      </c>
      <c r="E1234" s="163">
        <v>1987</v>
      </c>
      <c r="F1234" s="422">
        <f t="shared" si="199"/>
        <v>40.033</v>
      </c>
      <c r="G1234" s="405">
        <v>10.081</v>
      </c>
      <c r="H1234" s="405">
        <v>4.64</v>
      </c>
      <c r="I1234" s="649">
        <v>25.312</v>
      </c>
      <c r="J1234" s="401">
        <v>1512.81</v>
      </c>
      <c r="K1234" s="649">
        <v>25.312</v>
      </c>
      <c r="L1234" s="401">
        <v>1512.81</v>
      </c>
      <c r="M1234" s="323">
        <f t="shared" si="200"/>
        <v>0.016731777288621838</v>
      </c>
      <c r="N1234" s="324">
        <v>275.22</v>
      </c>
      <c r="O1234" s="260">
        <f t="shared" si="201"/>
        <v>4.604919745374502</v>
      </c>
      <c r="P1234" s="259">
        <f t="shared" si="202"/>
        <v>1003.9066373173102</v>
      </c>
      <c r="Q1234" s="327">
        <f t="shared" si="203"/>
        <v>276.2951847224702</v>
      </c>
    </row>
    <row r="1235" spans="1:17" ht="11.25">
      <c r="A1235" s="908"/>
      <c r="B1235" s="288">
        <v>6</v>
      </c>
      <c r="C1235" s="184" t="s">
        <v>883</v>
      </c>
      <c r="D1235" s="163">
        <f>H1235/0.16</f>
        <v>40</v>
      </c>
      <c r="E1235" s="163" t="s">
        <v>67</v>
      </c>
      <c r="F1235" s="422">
        <f t="shared" si="199"/>
        <v>48.933</v>
      </c>
      <c r="G1235" s="405">
        <v>4.191</v>
      </c>
      <c r="H1235" s="405">
        <v>6.4</v>
      </c>
      <c r="I1235" s="649">
        <v>38.342</v>
      </c>
      <c r="J1235" s="401">
        <v>2286.35</v>
      </c>
      <c r="K1235" s="649">
        <v>38.342</v>
      </c>
      <c r="L1235" s="401">
        <v>2286.35</v>
      </c>
      <c r="M1235" s="323">
        <f t="shared" si="200"/>
        <v>0.016769960854637306</v>
      </c>
      <c r="N1235" s="324">
        <v>275.22</v>
      </c>
      <c r="O1235" s="260">
        <f t="shared" si="201"/>
        <v>4.61542862641328</v>
      </c>
      <c r="P1235" s="259">
        <f t="shared" si="202"/>
        <v>1006.1976512782383</v>
      </c>
      <c r="Q1235" s="327">
        <f t="shared" si="203"/>
        <v>276.92571758479676</v>
      </c>
    </row>
    <row r="1236" spans="1:17" ht="11.25">
      <c r="A1236" s="908"/>
      <c r="B1236" s="288">
        <v>7</v>
      </c>
      <c r="C1236" s="184" t="s">
        <v>884</v>
      </c>
      <c r="D1236" s="163">
        <f>H1236/0.16</f>
        <v>45</v>
      </c>
      <c r="E1236" s="163">
        <v>1990</v>
      </c>
      <c r="F1236" s="422">
        <f t="shared" si="199"/>
        <v>51.593</v>
      </c>
      <c r="G1236" s="405">
        <v>5.329</v>
      </c>
      <c r="H1236" s="405">
        <v>7.2</v>
      </c>
      <c r="I1236" s="649">
        <v>39.064</v>
      </c>
      <c r="J1236" s="401">
        <v>2328.3</v>
      </c>
      <c r="K1236" s="649">
        <v>39.064</v>
      </c>
      <c r="L1236" s="401">
        <v>2328.3</v>
      </c>
      <c r="M1236" s="323">
        <f t="shared" si="200"/>
        <v>0.016777906627152856</v>
      </c>
      <c r="N1236" s="324">
        <v>275.22</v>
      </c>
      <c r="O1236" s="260">
        <f t="shared" si="201"/>
        <v>4.617615461925009</v>
      </c>
      <c r="P1236" s="259">
        <f t="shared" si="202"/>
        <v>1006.6743976291714</v>
      </c>
      <c r="Q1236" s="327">
        <f t="shared" si="203"/>
        <v>277.0569277155006</v>
      </c>
    </row>
    <row r="1237" spans="1:17" ht="11.25">
      <c r="A1237" s="908"/>
      <c r="B1237" s="288">
        <v>8</v>
      </c>
      <c r="C1237" s="184" t="s">
        <v>885</v>
      </c>
      <c r="D1237" s="163">
        <v>38</v>
      </c>
      <c r="E1237" s="163" t="s">
        <v>67</v>
      </c>
      <c r="F1237" s="422">
        <f t="shared" si="199"/>
        <v>41.372</v>
      </c>
      <c r="G1237" s="405">
        <v>4.656</v>
      </c>
      <c r="H1237" s="405">
        <v>5.44</v>
      </c>
      <c r="I1237" s="649">
        <v>31.276</v>
      </c>
      <c r="J1237" s="401">
        <v>1861.69</v>
      </c>
      <c r="K1237" s="649">
        <v>31.276</v>
      </c>
      <c r="L1237" s="401">
        <v>1861.69</v>
      </c>
      <c r="M1237" s="323">
        <f t="shared" si="200"/>
        <v>0.01679978943862834</v>
      </c>
      <c r="N1237" s="324">
        <v>275.22</v>
      </c>
      <c r="O1237" s="260">
        <f t="shared" si="201"/>
        <v>4.623638049299292</v>
      </c>
      <c r="P1237" s="259">
        <f t="shared" si="202"/>
        <v>1007.9873663177003</v>
      </c>
      <c r="Q1237" s="327">
        <f t="shared" si="203"/>
        <v>277.41828295795756</v>
      </c>
    </row>
    <row r="1238" spans="1:17" ht="11.25">
      <c r="A1238" s="908"/>
      <c r="B1238" s="288">
        <v>9</v>
      </c>
      <c r="C1238" s="184" t="s">
        <v>886</v>
      </c>
      <c r="D1238" s="163">
        <f>H1238/0.16</f>
        <v>50</v>
      </c>
      <c r="E1238" s="163">
        <v>1969</v>
      </c>
      <c r="F1238" s="422">
        <f t="shared" si="199"/>
        <v>56.85</v>
      </c>
      <c r="G1238" s="405">
        <v>5.217</v>
      </c>
      <c r="H1238" s="405">
        <v>8</v>
      </c>
      <c r="I1238" s="649">
        <v>43.633</v>
      </c>
      <c r="J1238" s="401">
        <v>2596.14</v>
      </c>
      <c r="K1238" s="649">
        <v>43.633</v>
      </c>
      <c r="L1238" s="401">
        <v>2596.14</v>
      </c>
      <c r="M1238" s="323">
        <f t="shared" si="200"/>
        <v>0.016806874821850903</v>
      </c>
      <c r="N1238" s="324">
        <v>275.22</v>
      </c>
      <c r="O1238" s="260">
        <f t="shared" si="201"/>
        <v>4.625588088469806</v>
      </c>
      <c r="P1238" s="259">
        <f t="shared" si="202"/>
        <v>1008.4124893110542</v>
      </c>
      <c r="Q1238" s="327">
        <f t="shared" si="203"/>
        <v>277.53528530818835</v>
      </c>
    </row>
    <row r="1239" spans="1:17" ht="12" thickBot="1">
      <c r="A1239" s="909"/>
      <c r="B1239" s="290" t="s">
        <v>401</v>
      </c>
      <c r="C1239" s="530" t="s">
        <v>887</v>
      </c>
      <c r="D1239" s="531">
        <f>H1239/0.16</f>
        <v>50</v>
      </c>
      <c r="E1239" s="531" t="s">
        <v>67</v>
      </c>
      <c r="F1239" s="650">
        <f t="shared" si="199"/>
        <v>56.150000000000006</v>
      </c>
      <c r="G1239" s="651">
        <v>4.471</v>
      </c>
      <c r="H1239" s="651">
        <v>8</v>
      </c>
      <c r="I1239" s="652">
        <v>43.679</v>
      </c>
      <c r="J1239" s="638">
        <v>2580.23</v>
      </c>
      <c r="K1239" s="652">
        <v>43.679</v>
      </c>
      <c r="L1239" s="638">
        <v>2580.23</v>
      </c>
      <c r="M1239" s="639">
        <f t="shared" si="200"/>
        <v>0.016928335846029232</v>
      </c>
      <c r="N1239" s="640">
        <v>275.22</v>
      </c>
      <c r="O1239" s="537">
        <f t="shared" si="201"/>
        <v>4.659016591544166</v>
      </c>
      <c r="P1239" s="537">
        <f t="shared" si="202"/>
        <v>1015.700150761754</v>
      </c>
      <c r="Q1239" s="641">
        <f t="shared" si="203"/>
        <v>279.54099549265</v>
      </c>
    </row>
    <row r="1240" spans="1:17" ht="11.25">
      <c r="A1240" s="910" t="s">
        <v>30</v>
      </c>
      <c r="B1240" s="291">
        <v>1</v>
      </c>
      <c r="C1240" s="532" t="s">
        <v>888</v>
      </c>
      <c r="D1240" s="217">
        <v>45</v>
      </c>
      <c r="E1240" s="217">
        <v>1976</v>
      </c>
      <c r="F1240" s="313">
        <f t="shared" si="199"/>
        <v>59.449000000000005</v>
      </c>
      <c r="G1240" s="653">
        <v>4.831</v>
      </c>
      <c r="H1240" s="653">
        <v>7.04</v>
      </c>
      <c r="I1240" s="653">
        <v>47.578</v>
      </c>
      <c r="J1240" s="642">
        <v>2281.6</v>
      </c>
      <c r="K1240" s="653">
        <v>47.578</v>
      </c>
      <c r="L1240" s="642">
        <v>2281.6</v>
      </c>
      <c r="M1240" s="317">
        <f t="shared" si="200"/>
        <v>0.020852910238429175</v>
      </c>
      <c r="N1240" s="145">
        <v>275.22</v>
      </c>
      <c r="O1240" s="318">
        <f t="shared" si="201"/>
        <v>5.739137955820478</v>
      </c>
      <c r="P1240" s="318">
        <f t="shared" si="202"/>
        <v>1251.1746143057505</v>
      </c>
      <c r="Q1240" s="319">
        <f t="shared" si="203"/>
        <v>344.3482773492287</v>
      </c>
    </row>
    <row r="1241" spans="1:17" ht="11.25">
      <c r="A1241" s="911"/>
      <c r="B1241" s="292">
        <v>2</v>
      </c>
      <c r="C1241" s="533" t="s">
        <v>889</v>
      </c>
      <c r="D1241" s="135">
        <f>H1241/0.16</f>
        <v>54</v>
      </c>
      <c r="E1241" s="135">
        <v>1987</v>
      </c>
      <c r="F1241" s="222">
        <f t="shared" si="199"/>
        <v>83.407</v>
      </c>
      <c r="G1241" s="654">
        <v>12.157</v>
      </c>
      <c r="H1241" s="654">
        <v>8.64</v>
      </c>
      <c r="I1241" s="654">
        <v>62.61</v>
      </c>
      <c r="J1241" s="643">
        <v>2998.26</v>
      </c>
      <c r="K1241" s="654">
        <v>62.61</v>
      </c>
      <c r="L1241" s="643">
        <v>2998.26</v>
      </c>
      <c r="M1241" s="146">
        <f t="shared" si="200"/>
        <v>0.02088211162474235</v>
      </c>
      <c r="N1241" s="220">
        <v>275.22</v>
      </c>
      <c r="O1241" s="148">
        <f t="shared" si="201"/>
        <v>5.74717476136159</v>
      </c>
      <c r="P1241" s="208">
        <f t="shared" si="202"/>
        <v>1252.926697484541</v>
      </c>
      <c r="Q1241" s="149">
        <f t="shared" si="203"/>
        <v>344.8304856816954</v>
      </c>
    </row>
    <row r="1242" spans="1:17" ht="11.25">
      <c r="A1242" s="911"/>
      <c r="B1242" s="292">
        <v>3</v>
      </c>
      <c r="C1242" s="533" t="s">
        <v>890</v>
      </c>
      <c r="D1242" s="135">
        <f>H1242/0.16</f>
        <v>22</v>
      </c>
      <c r="E1242" s="135">
        <v>1982</v>
      </c>
      <c r="F1242" s="222">
        <f t="shared" si="199"/>
        <v>31.552999999999997</v>
      </c>
      <c r="G1242" s="654">
        <v>2.749</v>
      </c>
      <c r="H1242" s="654">
        <v>3.52</v>
      </c>
      <c r="I1242" s="654">
        <v>25.284</v>
      </c>
      <c r="J1242" s="643">
        <v>1210.5</v>
      </c>
      <c r="K1242" s="654">
        <v>25.284</v>
      </c>
      <c r="L1242" s="643">
        <v>1210.5</v>
      </c>
      <c r="M1242" s="146">
        <f t="shared" si="200"/>
        <v>0.02088723667905824</v>
      </c>
      <c r="N1242" s="220">
        <v>275.22</v>
      </c>
      <c r="O1242" s="148">
        <f t="shared" si="201"/>
        <v>5.74858527881041</v>
      </c>
      <c r="P1242" s="208">
        <f t="shared" si="202"/>
        <v>1253.2342007434945</v>
      </c>
      <c r="Q1242" s="149">
        <f t="shared" si="203"/>
        <v>344.91511672862464</v>
      </c>
    </row>
    <row r="1243" spans="1:17" ht="11.25">
      <c r="A1243" s="911"/>
      <c r="B1243" s="292">
        <v>4</v>
      </c>
      <c r="C1243" s="533" t="s">
        <v>891</v>
      </c>
      <c r="D1243" s="135">
        <f>H1243/0.16</f>
        <v>54</v>
      </c>
      <c r="E1243" s="135">
        <v>1978</v>
      </c>
      <c r="F1243" s="222">
        <f t="shared" si="199"/>
        <v>77.711</v>
      </c>
      <c r="G1243" s="654">
        <v>6.547</v>
      </c>
      <c r="H1243" s="654">
        <v>8.64</v>
      </c>
      <c r="I1243" s="654">
        <v>62.524</v>
      </c>
      <c r="J1243" s="643">
        <v>2984.27</v>
      </c>
      <c r="K1243" s="654">
        <v>62.524</v>
      </c>
      <c r="L1243" s="643">
        <v>2984.27</v>
      </c>
      <c r="M1243" s="146">
        <f t="shared" si="200"/>
        <v>0.020951187392561667</v>
      </c>
      <c r="N1243" s="220">
        <v>275.22</v>
      </c>
      <c r="O1243" s="148">
        <f t="shared" si="201"/>
        <v>5.7661857941808226</v>
      </c>
      <c r="P1243" s="208">
        <f t="shared" si="202"/>
        <v>1257.0712435537</v>
      </c>
      <c r="Q1243" s="149">
        <f t="shared" si="203"/>
        <v>345.9711476508494</v>
      </c>
    </row>
    <row r="1244" spans="1:17" ht="11.25">
      <c r="A1244" s="911"/>
      <c r="B1244" s="292">
        <v>5</v>
      </c>
      <c r="C1244" s="533" t="s">
        <v>892</v>
      </c>
      <c r="D1244" s="135">
        <v>36</v>
      </c>
      <c r="E1244" s="135">
        <v>1993</v>
      </c>
      <c r="F1244" s="222">
        <f t="shared" si="199"/>
        <v>53.397000000000006</v>
      </c>
      <c r="G1244" s="654">
        <v>6.115</v>
      </c>
      <c r="H1244" s="654">
        <v>5.688</v>
      </c>
      <c r="I1244" s="654">
        <v>41.594</v>
      </c>
      <c r="J1244" s="643">
        <v>1983.84</v>
      </c>
      <c r="K1244" s="654">
        <v>41.594</v>
      </c>
      <c r="L1244" s="643">
        <v>1983.84</v>
      </c>
      <c r="M1244" s="146">
        <f t="shared" si="200"/>
        <v>0.020966408581337206</v>
      </c>
      <c r="N1244" s="220">
        <v>275.22</v>
      </c>
      <c r="O1244" s="148">
        <f t="shared" si="201"/>
        <v>5.770374969755626</v>
      </c>
      <c r="P1244" s="208">
        <f t="shared" si="202"/>
        <v>1257.9845148802324</v>
      </c>
      <c r="Q1244" s="149">
        <f t="shared" si="203"/>
        <v>346.2224981853376</v>
      </c>
    </row>
    <row r="1245" spans="1:17" ht="11.25">
      <c r="A1245" s="911"/>
      <c r="B1245" s="292">
        <v>6</v>
      </c>
      <c r="C1245" s="533" t="s">
        <v>893</v>
      </c>
      <c r="D1245" s="135">
        <f>H1245/0.16</f>
        <v>20</v>
      </c>
      <c r="E1245" s="135">
        <v>1987</v>
      </c>
      <c r="F1245" s="222">
        <f t="shared" si="199"/>
        <v>27.348</v>
      </c>
      <c r="G1245" s="654">
        <v>2.076</v>
      </c>
      <c r="H1245" s="654">
        <v>3.2</v>
      </c>
      <c r="I1245" s="654">
        <v>22.072</v>
      </c>
      <c r="J1245" s="643">
        <v>1052.09</v>
      </c>
      <c r="K1245" s="654">
        <v>22.072</v>
      </c>
      <c r="L1245" s="643">
        <v>1052.09</v>
      </c>
      <c r="M1245" s="146">
        <f t="shared" si="200"/>
        <v>0.020979193795207636</v>
      </c>
      <c r="N1245" s="220">
        <v>275.22</v>
      </c>
      <c r="O1245" s="148">
        <f t="shared" si="201"/>
        <v>5.773893716317046</v>
      </c>
      <c r="P1245" s="208">
        <f t="shared" si="202"/>
        <v>1258.7516277124582</v>
      </c>
      <c r="Q1245" s="149">
        <f t="shared" si="203"/>
        <v>346.4336229790228</v>
      </c>
    </row>
    <row r="1246" spans="1:17" ht="11.25">
      <c r="A1246" s="911"/>
      <c r="B1246" s="292">
        <v>7</v>
      </c>
      <c r="C1246" s="533" t="s">
        <v>894</v>
      </c>
      <c r="D1246" s="135">
        <v>65</v>
      </c>
      <c r="E1246" s="135">
        <v>1989</v>
      </c>
      <c r="F1246" s="222">
        <f t="shared" si="199"/>
        <v>65.786</v>
      </c>
      <c r="G1246" s="654">
        <v>6.283</v>
      </c>
      <c r="H1246" s="654">
        <v>10</v>
      </c>
      <c r="I1246" s="654">
        <v>49.503</v>
      </c>
      <c r="J1246" s="643">
        <v>2359.09</v>
      </c>
      <c r="K1246" s="654">
        <v>49.503</v>
      </c>
      <c r="L1246" s="643">
        <v>2359.09</v>
      </c>
      <c r="M1246" s="146">
        <f t="shared" si="200"/>
        <v>0.02098393872213438</v>
      </c>
      <c r="N1246" s="220">
        <v>275.22</v>
      </c>
      <c r="O1246" s="148">
        <f t="shared" si="201"/>
        <v>5.775199615105825</v>
      </c>
      <c r="P1246" s="208">
        <f t="shared" si="202"/>
        <v>1259.0363233280627</v>
      </c>
      <c r="Q1246" s="149">
        <f t="shared" si="203"/>
        <v>346.5119769063495</v>
      </c>
    </row>
    <row r="1247" spans="1:17" ht="11.25">
      <c r="A1247" s="911"/>
      <c r="B1247" s="292">
        <v>8</v>
      </c>
      <c r="C1247" s="533" t="s">
        <v>895</v>
      </c>
      <c r="D1247" s="135">
        <f>H1247/0.16</f>
        <v>22</v>
      </c>
      <c r="E1247" s="135">
        <v>1990</v>
      </c>
      <c r="F1247" s="222">
        <f t="shared" si="199"/>
        <v>37.401</v>
      </c>
      <c r="G1247" s="654">
        <v>3.647</v>
      </c>
      <c r="H1247" s="654">
        <v>3.52</v>
      </c>
      <c r="I1247" s="654">
        <v>30.234</v>
      </c>
      <c r="J1247" s="643">
        <v>1435.03</v>
      </c>
      <c r="K1247" s="654">
        <v>30.234</v>
      </c>
      <c r="L1247" s="643">
        <v>1435.03</v>
      </c>
      <c r="M1247" s="146">
        <f t="shared" si="200"/>
        <v>0.021068549089566072</v>
      </c>
      <c r="N1247" s="220">
        <v>275.22</v>
      </c>
      <c r="O1247" s="148">
        <f t="shared" si="201"/>
        <v>5.798486080430375</v>
      </c>
      <c r="P1247" s="208">
        <f t="shared" si="202"/>
        <v>1264.1129453739643</v>
      </c>
      <c r="Q1247" s="149">
        <f t="shared" si="203"/>
        <v>347.9091648258225</v>
      </c>
    </row>
    <row r="1248" spans="1:17" ht="11.25">
      <c r="A1248" s="911"/>
      <c r="B1248" s="292">
        <v>9</v>
      </c>
      <c r="C1248" s="533" t="s">
        <v>896</v>
      </c>
      <c r="D1248" s="135">
        <v>45</v>
      </c>
      <c r="E1248" s="135">
        <v>1985</v>
      </c>
      <c r="F1248" s="222">
        <f t="shared" si="199"/>
        <v>58.443</v>
      </c>
      <c r="G1248" s="654">
        <v>1.964</v>
      </c>
      <c r="H1248" s="654">
        <v>7.12</v>
      </c>
      <c r="I1248" s="654">
        <v>49.359</v>
      </c>
      <c r="J1248" s="643">
        <v>2341.93</v>
      </c>
      <c r="K1248" s="654">
        <v>49.359</v>
      </c>
      <c r="L1248" s="643">
        <v>2341.93</v>
      </c>
      <c r="M1248" s="146">
        <f t="shared" si="200"/>
        <v>0.021076206376791792</v>
      </c>
      <c r="N1248" s="220">
        <v>275.22</v>
      </c>
      <c r="O1248" s="148">
        <f t="shared" si="201"/>
        <v>5.800593519020637</v>
      </c>
      <c r="P1248" s="208">
        <f t="shared" si="202"/>
        <v>1264.5723826075075</v>
      </c>
      <c r="Q1248" s="149">
        <f t="shared" si="203"/>
        <v>348.03561114123823</v>
      </c>
    </row>
    <row r="1249" spans="1:17" ht="12" thickBot="1">
      <c r="A1249" s="912"/>
      <c r="B1249" s="293" t="s">
        <v>401</v>
      </c>
      <c r="C1249" s="534" t="s">
        <v>484</v>
      </c>
      <c r="D1249" s="136">
        <f>H1249/0.16</f>
        <v>45</v>
      </c>
      <c r="E1249" s="136">
        <v>1976</v>
      </c>
      <c r="F1249" s="312">
        <f t="shared" si="199"/>
        <v>61.22</v>
      </c>
      <c r="G1249" s="655">
        <v>4.769</v>
      </c>
      <c r="H1249" s="655">
        <v>7.2</v>
      </c>
      <c r="I1249" s="655">
        <v>49.251</v>
      </c>
      <c r="J1249" s="644">
        <v>2327.85</v>
      </c>
      <c r="K1249" s="655">
        <v>49.251</v>
      </c>
      <c r="L1249" s="644">
        <v>2327.85</v>
      </c>
      <c r="M1249" s="211">
        <f t="shared" si="200"/>
        <v>0.021157291062568466</v>
      </c>
      <c r="N1249" s="370">
        <v>275.22</v>
      </c>
      <c r="O1249" s="212">
        <f t="shared" si="201"/>
        <v>5.8229096462400936</v>
      </c>
      <c r="P1249" s="212">
        <f t="shared" si="202"/>
        <v>1269.437463754108</v>
      </c>
      <c r="Q1249" s="213">
        <f t="shared" si="203"/>
        <v>349.3745787744056</v>
      </c>
    </row>
    <row r="1250" spans="1:17" ht="11.25">
      <c r="A1250" s="913" t="s">
        <v>12</v>
      </c>
      <c r="B1250" s="291">
        <v>1</v>
      </c>
      <c r="C1250" s="535" t="s">
        <v>897</v>
      </c>
      <c r="D1250" s="369">
        <f>H1250/0.16</f>
        <v>65</v>
      </c>
      <c r="E1250" s="369">
        <v>1987</v>
      </c>
      <c r="F1250" s="389">
        <f t="shared" si="199"/>
        <v>37.739000000000004</v>
      </c>
      <c r="G1250" s="656">
        <v>5.049</v>
      </c>
      <c r="H1250" s="656">
        <v>10.4</v>
      </c>
      <c r="I1250" s="383">
        <v>22.29</v>
      </c>
      <c r="J1250" s="645">
        <v>2365.5</v>
      </c>
      <c r="K1250" s="656">
        <v>60.375</v>
      </c>
      <c r="L1250" s="645">
        <v>2365.5</v>
      </c>
      <c r="M1250" s="170">
        <f t="shared" si="200"/>
        <v>0.025523145212428662</v>
      </c>
      <c r="N1250" s="168">
        <v>275.22</v>
      </c>
      <c r="O1250" s="171">
        <f t="shared" si="201"/>
        <v>7.024480025364617</v>
      </c>
      <c r="P1250" s="171">
        <f t="shared" si="202"/>
        <v>1531.3887127457197</v>
      </c>
      <c r="Q1250" s="172">
        <f t="shared" si="203"/>
        <v>421.468801521877</v>
      </c>
    </row>
    <row r="1251" spans="1:17" ht="11.25">
      <c r="A1251" s="914"/>
      <c r="B1251" s="292">
        <v>2</v>
      </c>
      <c r="C1251" s="536" t="s">
        <v>898</v>
      </c>
      <c r="D1251" s="137">
        <f>H1251/0.16</f>
        <v>22</v>
      </c>
      <c r="E1251" s="137" t="s">
        <v>67</v>
      </c>
      <c r="F1251" s="218">
        <f t="shared" si="199"/>
        <v>54.534</v>
      </c>
      <c r="G1251" s="657">
        <v>1.964</v>
      </c>
      <c r="H1251" s="657">
        <v>3.52</v>
      </c>
      <c r="I1251" s="201">
        <v>49.05</v>
      </c>
      <c r="J1251" s="646">
        <v>1138.2</v>
      </c>
      <c r="K1251" s="657">
        <v>29.413</v>
      </c>
      <c r="L1251" s="646">
        <v>1138.2</v>
      </c>
      <c r="M1251" s="150">
        <f t="shared" si="200"/>
        <v>0.02584167984536988</v>
      </c>
      <c r="N1251" s="168">
        <v>275.22</v>
      </c>
      <c r="O1251" s="152">
        <f t="shared" si="201"/>
        <v>7.112147127042699</v>
      </c>
      <c r="P1251" s="171">
        <f t="shared" si="202"/>
        <v>1550.5007907221927</v>
      </c>
      <c r="Q1251" s="153">
        <f t="shared" si="203"/>
        <v>426.72882762256194</v>
      </c>
    </row>
    <row r="1252" spans="1:17" ht="11.25">
      <c r="A1252" s="914"/>
      <c r="B1252" s="292">
        <v>3</v>
      </c>
      <c r="C1252" s="536" t="s">
        <v>899</v>
      </c>
      <c r="D1252" s="137">
        <f>H1252/0.16</f>
        <v>72</v>
      </c>
      <c r="E1252" s="137">
        <v>1977</v>
      </c>
      <c r="F1252" s="218">
        <f t="shared" si="199"/>
        <v>28.732</v>
      </c>
      <c r="G1252" s="657">
        <v>6.57</v>
      </c>
      <c r="H1252" s="657">
        <v>11.52</v>
      </c>
      <c r="I1252" s="201">
        <v>10.642</v>
      </c>
      <c r="J1252" s="646">
        <v>2118.23</v>
      </c>
      <c r="K1252" s="657">
        <v>56.173</v>
      </c>
      <c r="L1252" s="646">
        <v>2118.23</v>
      </c>
      <c r="M1252" s="150">
        <f t="shared" si="200"/>
        <v>0.026518838841863256</v>
      </c>
      <c r="N1252" s="168">
        <v>275.22</v>
      </c>
      <c r="O1252" s="152">
        <f t="shared" si="201"/>
        <v>7.298514826057606</v>
      </c>
      <c r="P1252" s="171">
        <f t="shared" si="202"/>
        <v>1591.1303305117954</v>
      </c>
      <c r="Q1252" s="153">
        <f t="shared" si="203"/>
        <v>437.91088956345635</v>
      </c>
    </row>
    <row r="1253" spans="1:17" ht="11.25">
      <c r="A1253" s="914"/>
      <c r="B1253" s="292">
        <v>4</v>
      </c>
      <c r="C1253" s="536" t="s">
        <v>900</v>
      </c>
      <c r="D1253" s="137">
        <v>53</v>
      </c>
      <c r="E1253" s="137">
        <v>1981</v>
      </c>
      <c r="F1253" s="218">
        <f t="shared" si="199"/>
        <v>27.78</v>
      </c>
      <c r="G1253" s="657">
        <v>6.932</v>
      </c>
      <c r="H1253" s="657">
        <v>0.53</v>
      </c>
      <c r="I1253" s="201">
        <v>20.318</v>
      </c>
      <c r="J1253" s="646">
        <v>1640.82</v>
      </c>
      <c r="K1253" s="657">
        <v>44.304</v>
      </c>
      <c r="L1253" s="646">
        <v>1640.82</v>
      </c>
      <c r="M1253" s="150">
        <f t="shared" si="200"/>
        <v>0.02700113357955169</v>
      </c>
      <c r="N1253" s="168">
        <v>275.22</v>
      </c>
      <c r="O1253" s="152">
        <f t="shared" si="201"/>
        <v>7.431251983764217</v>
      </c>
      <c r="P1253" s="171">
        <f t="shared" si="202"/>
        <v>1620.0680147731014</v>
      </c>
      <c r="Q1253" s="153">
        <f t="shared" si="203"/>
        <v>445.875119025853</v>
      </c>
    </row>
    <row r="1254" spans="1:17" ht="11.25">
      <c r="A1254" s="914"/>
      <c r="B1254" s="292">
        <v>5</v>
      </c>
      <c r="C1254" s="536" t="s">
        <v>485</v>
      </c>
      <c r="D1254" s="137">
        <v>72</v>
      </c>
      <c r="E1254" s="137">
        <v>1980</v>
      </c>
      <c r="F1254" s="218">
        <f t="shared" si="199"/>
        <v>23.296999999999997</v>
      </c>
      <c r="G1254" s="657">
        <v>4.039</v>
      </c>
      <c r="H1254" s="657">
        <v>11.36</v>
      </c>
      <c r="I1254" s="201">
        <v>7.898</v>
      </c>
      <c r="J1254" s="646">
        <v>2089.88</v>
      </c>
      <c r="K1254" s="657">
        <v>57.981</v>
      </c>
      <c r="L1254" s="646">
        <v>2089.88</v>
      </c>
      <c r="M1254" s="150">
        <f t="shared" si="200"/>
        <v>0.027743698202767623</v>
      </c>
      <c r="N1254" s="168">
        <v>275.22</v>
      </c>
      <c r="O1254" s="152">
        <f t="shared" si="201"/>
        <v>7.635620619365706</v>
      </c>
      <c r="P1254" s="171">
        <f t="shared" si="202"/>
        <v>1664.6218921660575</v>
      </c>
      <c r="Q1254" s="153">
        <f t="shared" si="203"/>
        <v>458.1372371619424</v>
      </c>
    </row>
    <row r="1255" spans="1:17" ht="11.25">
      <c r="A1255" s="914"/>
      <c r="B1255" s="292">
        <v>6</v>
      </c>
      <c r="C1255" s="536" t="s">
        <v>486</v>
      </c>
      <c r="D1255" s="137">
        <f>H1255/0.16</f>
        <v>72</v>
      </c>
      <c r="E1255" s="137">
        <v>1982</v>
      </c>
      <c r="F1255" s="218">
        <f t="shared" si="199"/>
        <v>27.740000000000002</v>
      </c>
      <c r="G1255" s="657">
        <v>5.144</v>
      </c>
      <c r="H1255" s="657">
        <v>11.52</v>
      </c>
      <c r="I1255" s="201">
        <v>11.076</v>
      </c>
      <c r="J1255" s="646">
        <v>2117.32</v>
      </c>
      <c r="K1255" s="657">
        <v>58.945</v>
      </c>
      <c r="L1255" s="646">
        <v>2117.32</v>
      </c>
      <c r="M1255" s="150">
        <f t="shared" si="200"/>
        <v>0.02783943853550715</v>
      </c>
      <c r="N1255" s="168">
        <v>275.22</v>
      </c>
      <c r="O1255" s="152">
        <f t="shared" si="201"/>
        <v>7.661970273742279</v>
      </c>
      <c r="P1255" s="171">
        <f t="shared" si="202"/>
        <v>1670.3663121304292</v>
      </c>
      <c r="Q1255" s="153">
        <f t="shared" si="203"/>
        <v>459.71821642453676</v>
      </c>
    </row>
    <row r="1256" spans="1:17" ht="11.25">
      <c r="A1256" s="914"/>
      <c r="B1256" s="292">
        <v>7</v>
      </c>
      <c r="C1256" s="536" t="s">
        <v>901</v>
      </c>
      <c r="D1256" s="137">
        <v>72</v>
      </c>
      <c r="E1256" s="137" t="s">
        <v>67</v>
      </c>
      <c r="F1256" s="218">
        <f t="shared" si="199"/>
        <v>62.397000000000006</v>
      </c>
      <c r="G1256" s="657">
        <v>4.151</v>
      </c>
      <c r="H1256" s="657">
        <v>11.36</v>
      </c>
      <c r="I1256" s="201">
        <v>46.886</v>
      </c>
      <c r="J1256" s="646">
        <v>2074.02</v>
      </c>
      <c r="K1256" s="657">
        <v>58.953</v>
      </c>
      <c r="L1256" s="646">
        <v>2074.02</v>
      </c>
      <c r="M1256" s="150">
        <f t="shared" si="200"/>
        <v>0.028424508924696966</v>
      </c>
      <c r="N1256" s="168">
        <v>275.22</v>
      </c>
      <c r="O1256" s="152">
        <f t="shared" si="201"/>
        <v>7.8229933462551</v>
      </c>
      <c r="P1256" s="171">
        <f t="shared" si="202"/>
        <v>1705.470535481818</v>
      </c>
      <c r="Q1256" s="153">
        <f t="shared" si="203"/>
        <v>469.379600775306</v>
      </c>
    </row>
    <row r="1257" spans="1:17" ht="11.25">
      <c r="A1257" s="914"/>
      <c r="B1257" s="292">
        <v>8</v>
      </c>
      <c r="C1257" s="536" t="s">
        <v>902</v>
      </c>
      <c r="D1257" s="137">
        <v>72</v>
      </c>
      <c r="E1257" s="137" t="s">
        <v>67</v>
      </c>
      <c r="F1257" s="218">
        <f t="shared" si="199"/>
        <v>60.626</v>
      </c>
      <c r="G1257" s="657">
        <v>3.766</v>
      </c>
      <c r="H1257" s="657">
        <v>11.28</v>
      </c>
      <c r="I1257" s="201">
        <v>45.58</v>
      </c>
      <c r="J1257" s="646">
        <v>2076.15</v>
      </c>
      <c r="K1257" s="657">
        <v>59.014</v>
      </c>
      <c r="L1257" s="646">
        <v>2076.15</v>
      </c>
      <c r="M1257" s="150">
        <f t="shared" si="200"/>
        <v>0.028424728463742985</v>
      </c>
      <c r="N1257" s="168">
        <v>275.22</v>
      </c>
      <c r="O1257" s="152">
        <f t="shared" si="201"/>
        <v>7.823053767791345</v>
      </c>
      <c r="P1257" s="171">
        <f t="shared" si="202"/>
        <v>1705.4837078245791</v>
      </c>
      <c r="Q1257" s="153">
        <f t="shared" si="203"/>
        <v>469.3832260674807</v>
      </c>
    </row>
    <row r="1258" spans="1:17" ht="11.25">
      <c r="A1258" s="914"/>
      <c r="B1258" s="292">
        <v>9</v>
      </c>
      <c r="C1258" s="536" t="s">
        <v>903</v>
      </c>
      <c r="D1258" s="137">
        <f>H1258/0.16</f>
        <v>7.000000000000001</v>
      </c>
      <c r="E1258" s="369">
        <v>1986</v>
      </c>
      <c r="F1258" s="218">
        <f t="shared" si="199"/>
        <v>49.559</v>
      </c>
      <c r="G1258" s="657">
        <v>1.234</v>
      </c>
      <c r="H1258" s="657">
        <v>1.12</v>
      </c>
      <c r="I1258" s="201">
        <v>47.205</v>
      </c>
      <c r="J1258" s="646">
        <v>374.89</v>
      </c>
      <c r="K1258" s="657">
        <v>10.714</v>
      </c>
      <c r="L1258" s="646">
        <v>374.89</v>
      </c>
      <c r="M1258" s="150">
        <f t="shared" si="200"/>
        <v>0.028579049854624027</v>
      </c>
      <c r="N1258" s="168">
        <v>275.22</v>
      </c>
      <c r="O1258" s="152">
        <f t="shared" si="201"/>
        <v>7.865526100989626</v>
      </c>
      <c r="P1258" s="171">
        <f t="shared" si="202"/>
        <v>1714.7429912774417</v>
      </c>
      <c r="Q1258" s="153">
        <f t="shared" si="203"/>
        <v>471.9315660593776</v>
      </c>
    </row>
    <row r="1259" spans="1:17" ht="12" thickBot="1">
      <c r="A1259" s="915"/>
      <c r="B1259" s="293" t="s">
        <v>401</v>
      </c>
      <c r="C1259" s="51"/>
      <c r="D1259" s="138"/>
      <c r="E1259" s="138"/>
      <c r="F1259" s="251"/>
      <c r="G1259" s="380"/>
      <c r="H1259" s="380"/>
      <c r="I1259" s="380"/>
      <c r="J1259" s="384"/>
      <c r="K1259" s="380"/>
      <c r="L1259" s="384"/>
      <c r="M1259" s="154"/>
      <c r="N1259" s="155"/>
      <c r="O1259" s="156"/>
      <c r="P1259" s="156"/>
      <c r="Q1259" s="157"/>
    </row>
    <row r="1260" spans="3:5" ht="11.25">
      <c r="C1260" s="1"/>
      <c r="D1260" s="1"/>
      <c r="E1260" s="1"/>
    </row>
    <row r="1264" spans="1:17" ht="15">
      <c r="A1264" s="967" t="s">
        <v>509</v>
      </c>
      <c r="B1264" s="967"/>
      <c r="C1264" s="967"/>
      <c r="D1264" s="967"/>
      <c r="E1264" s="967"/>
      <c r="F1264" s="967"/>
      <c r="G1264" s="967"/>
      <c r="H1264" s="967"/>
      <c r="I1264" s="967"/>
      <c r="J1264" s="967"/>
      <c r="K1264" s="967"/>
      <c r="L1264" s="967"/>
      <c r="M1264" s="967"/>
      <c r="N1264" s="967"/>
      <c r="O1264" s="967"/>
      <c r="P1264" s="967"/>
      <c r="Q1264" s="967"/>
    </row>
    <row r="1265" spans="1:17" ht="13.5" thickBot="1">
      <c r="A1265" s="968" t="s">
        <v>904</v>
      </c>
      <c r="B1265" s="968"/>
      <c r="C1265" s="968"/>
      <c r="D1265" s="968"/>
      <c r="E1265" s="968"/>
      <c r="F1265" s="968"/>
      <c r="G1265" s="968"/>
      <c r="H1265" s="968"/>
      <c r="I1265" s="968"/>
      <c r="J1265" s="968"/>
      <c r="K1265" s="968"/>
      <c r="L1265" s="968"/>
      <c r="M1265" s="968"/>
      <c r="N1265" s="968"/>
      <c r="O1265" s="968"/>
      <c r="P1265" s="968"/>
      <c r="Q1265" s="968"/>
    </row>
    <row r="1266" spans="1:17" ht="11.25">
      <c r="A1266" s="952" t="s">
        <v>1</v>
      </c>
      <c r="B1266" s="955" t="s">
        <v>0</v>
      </c>
      <c r="C1266" s="944" t="s">
        <v>2</v>
      </c>
      <c r="D1266" s="944" t="s">
        <v>3</v>
      </c>
      <c r="E1266" s="944" t="s">
        <v>13</v>
      </c>
      <c r="F1266" s="960" t="s">
        <v>14</v>
      </c>
      <c r="G1266" s="961"/>
      <c r="H1266" s="961"/>
      <c r="I1266" s="962"/>
      <c r="J1266" s="944" t="s">
        <v>4</v>
      </c>
      <c r="K1266" s="944" t="s">
        <v>15</v>
      </c>
      <c r="L1266" s="944" t="s">
        <v>5</v>
      </c>
      <c r="M1266" s="944" t="s">
        <v>6</v>
      </c>
      <c r="N1266" s="944" t="s">
        <v>16</v>
      </c>
      <c r="O1266" s="969" t="s">
        <v>17</v>
      </c>
      <c r="P1266" s="944" t="s">
        <v>25</v>
      </c>
      <c r="Q1266" s="929" t="s">
        <v>26</v>
      </c>
    </row>
    <row r="1267" spans="1:17" ht="33.75">
      <c r="A1267" s="953"/>
      <c r="B1267" s="956"/>
      <c r="C1267" s="958"/>
      <c r="D1267" s="945"/>
      <c r="E1267" s="945"/>
      <c r="F1267" s="37" t="s">
        <v>18</v>
      </c>
      <c r="G1267" s="37" t="s">
        <v>19</v>
      </c>
      <c r="H1267" s="37" t="s">
        <v>20</v>
      </c>
      <c r="I1267" s="37" t="s">
        <v>21</v>
      </c>
      <c r="J1267" s="945"/>
      <c r="K1267" s="945"/>
      <c r="L1267" s="945"/>
      <c r="M1267" s="945"/>
      <c r="N1267" s="945"/>
      <c r="O1267" s="970"/>
      <c r="P1267" s="945"/>
      <c r="Q1267" s="930"/>
    </row>
    <row r="1268" spans="1:17" ht="23.25" thickBot="1">
      <c r="A1268" s="953"/>
      <c r="B1268" s="956"/>
      <c r="C1268" s="959"/>
      <c r="D1268" s="58" t="s">
        <v>7</v>
      </c>
      <c r="E1268" s="58" t="s">
        <v>8</v>
      </c>
      <c r="F1268" s="58" t="s">
        <v>9</v>
      </c>
      <c r="G1268" s="58" t="s">
        <v>9</v>
      </c>
      <c r="H1268" s="58" t="s">
        <v>9</v>
      </c>
      <c r="I1268" s="58" t="s">
        <v>9</v>
      </c>
      <c r="J1268" s="58" t="s">
        <v>22</v>
      </c>
      <c r="K1268" s="58" t="s">
        <v>9</v>
      </c>
      <c r="L1268" s="58" t="s">
        <v>22</v>
      </c>
      <c r="M1268" s="58" t="s">
        <v>134</v>
      </c>
      <c r="N1268" s="58" t="s">
        <v>10</v>
      </c>
      <c r="O1268" s="58" t="s">
        <v>135</v>
      </c>
      <c r="P1268" s="59" t="s">
        <v>27</v>
      </c>
      <c r="Q1268" s="60" t="s">
        <v>28</v>
      </c>
    </row>
    <row r="1269" spans="1:17" ht="11.25">
      <c r="A1269" s="905" t="s">
        <v>11</v>
      </c>
      <c r="B1269" s="287">
        <v>1</v>
      </c>
      <c r="C1269" s="62"/>
      <c r="D1269" s="61"/>
      <c r="E1269" s="61"/>
      <c r="F1269" s="199"/>
      <c r="G1269" s="199"/>
      <c r="H1269" s="199"/>
      <c r="I1269" s="199"/>
      <c r="J1269" s="458"/>
      <c r="K1269" s="199"/>
      <c r="L1269" s="458"/>
      <c r="M1269" s="328"/>
      <c r="N1269" s="198"/>
      <c r="O1269" s="308"/>
      <c r="P1269" s="355"/>
      <c r="Q1269" s="189"/>
    </row>
    <row r="1270" spans="1:17" ht="11.25">
      <c r="A1270" s="906"/>
      <c r="B1270" s="288">
        <v>2</v>
      </c>
      <c r="C1270" s="16"/>
      <c r="D1270" s="132"/>
      <c r="E1270" s="132"/>
      <c r="F1270" s="248"/>
      <c r="G1270" s="130"/>
      <c r="H1270" s="130"/>
      <c r="I1270" s="130"/>
      <c r="J1270" s="187"/>
      <c r="K1270" s="130"/>
      <c r="L1270" s="187"/>
      <c r="M1270" s="141"/>
      <c r="N1270" s="160"/>
      <c r="O1270" s="143"/>
      <c r="P1270" s="164"/>
      <c r="Q1270" s="144"/>
    </row>
    <row r="1271" spans="1:17" ht="11.25">
      <c r="A1271" s="906"/>
      <c r="B1271" s="288">
        <v>3</v>
      </c>
      <c r="C1271" s="16"/>
      <c r="D1271" s="132"/>
      <c r="E1271" s="132"/>
      <c r="F1271" s="248"/>
      <c r="G1271" s="130"/>
      <c r="H1271" s="130"/>
      <c r="I1271" s="130"/>
      <c r="J1271" s="187"/>
      <c r="K1271" s="130"/>
      <c r="L1271" s="187"/>
      <c r="M1271" s="141"/>
      <c r="N1271" s="160"/>
      <c r="O1271" s="143"/>
      <c r="P1271" s="164"/>
      <c r="Q1271" s="144"/>
    </row>
    <row r="1272" spans="1:17" ht="11.25">
      <c r="A1272" s="906"/>
      <c r="B1272" s="288">
        <v>4</v>
      </c>
      <c r="C1272" s="16"/>
      <c r="D1272" s="132"/>
      <c r="E1272" s="159"/>
      <c r="F1272" s="248"/>
      <c r="G1272" s="130"/>
      <c r="H1272" s="130"/>
      <c r="I1272" s="130"/>
      <c r="J1272" s="187"/>
      <c r="K1272" s="130"/>
      <c r="L1272" s="187"/>
      <c r="M1272" s="141"/>
      <c r="N1272" s="160"/>
      <c r="O1272" s="143"/>
      <c r="P1272" s="164"/>
      <c r="Q1272" s="144"/>
    </row>
    <row r="1273" spans="1:17" ht="11.25">
      <c r="A1273" s="906"/>
      <c r="B1273" s="288">
        <v>5</v>
      </c>
      <c r="C1273" s="16"/>
      <c r="D1273" s="132"/>
      <c r="E1273" s="159"/>
      <c r="F1273" s="248"/>
      <c r="G1273" s="130"/>
      <c r="H1273" s="130"/>
      <c r="I1273" s="130"/>
      <c r="J1273" s="187"/>
      <c r="K1273" s="130"/>
      <c r="L1273" s="187"/>
      <c r="M1273" s="141"/>
      <c r="N1273" s="160"/>
      <c r="O1273" s="143"/>
      <c r="P1273" s="164"/>
      <c r="Q1273" s="144"/>
    </row>
    <row r="1274" spans="1:17" ht="11.25">
      <c r="A1274" s="906"/>
      <c r="B1274" s="288">
        <v>6</v>
      </c>
      <c r="C1274" s="16"/>
      <c r="D1274" s="132"/>
      <c r="E1274" s="132"/>
      <c r="F1274" s="248"/>
      <c r="G1274" s="130"/>
      <c r="H1274" s="130"/>
      <c r="I1274" s="130"/>
      <c r="J1274" s="187"/>
      <c r="K1274" s="130"/>
      <c r="L1274" s="187"/>
      <c r="M1274" s="141"/>
      <c r="N1274" s="160"/>
      <c r="O1274" s="143"/>
      <c r="P1274" s="164"/>
      <c r="Q1274" s="144"/>
    </row>
    <row r="1275" spans="1:17" ht="11.25">
      <c r="A1275" s="906"/>
      <c r="B1275" s="288">
        <v>7</v>
      </c>
      <c r="C1275" s="16"/>
      <c r="D1275" s="132"/>
      <c r="E1275" s="132"/>
      <c r="F1275" s="248"/>
      <c r="G1275" s="130"/>
      <c r="H1275" s="130"/>
      <c r="I1275" s="130"/>
      <c r="J1275" s="187"/>
      <c r="K1275" s="130"/>
      <c r="L1275" s="187"/>
      <c r="M1275" s="141"/>
      <c r="N1275" s="160"/>
      <c r="O1275" s="143"/>
      <c r="P1275" s="164"/>
      <c r="Q1275" s="144"/>
    </row>
    <row r="1276" spans="1:17" ht="12" thickBot="1">
      <c r="A1276" s="906"/>
      <c r="B1276" s="288">
        <v>8</v>
      </c>
      <c r="C1276" s="16"/>
      <c r="D1276" s="132"/>
      <c r="E1276" s="132"/>
      <c r="F1276" s="248"/>
      <c r="G1276" s="130"/>
      <c r="H1276" s="130"/>
      <c r="I1276" s="130"/>
      <c r="J1276" s="187"/>
      <c r="K1276" s="130"/>
      <c r="L1276" s="187"/>
      <c r="M1276" s="174"/>
      <c r="N1276" s="162"/>
      <c r="O1276" s="273"/>
      <c r="P1276" s="175"/>
      <c r="Q1276" s="165"/>
    </row>
    <row r="1277" spans="1:17" ht="11.25">
      <c r="A1277" s="907" t="s">
        <v>29</v>
      </c>
      <c r="B1277" s="5">
        <v>1</v>
      </c>
      <c r="C1277" s="183" t="s">
        <v>905</v>
      </c>
      <c r="D1277" s="244">
        <v>6</v>
      </c>
      <c r="E1277" s="244">
        <v>1985</v>
      </c>
      <c r="F1277" s="404">
        <v>8</v>
      </c>
      <c r="G1277" s="404">
        <v>0.55</v>
      </c>
      <c r="H1277" s="404">
        <v>1.12</v>
      </c>
      <c r="I1277" s="404">
        <v>6.42</v>
      </c>
      <c r="J1277" s="400">
        <v>396</v>
      </c>
      <c r="K1277" s="404">
        <v>6.42</v>
      </c>
      <c r="L1277" s="400">
        <v>396</v>
      </c>
      <c r="M1277" s="344">
        <f>I1277/L1277</f>
        <v>0.016212121212121212</v>
      </c>
      <c r="N1277" s="464">
        <v>222.9</v>
      </c>
      <c r="O1277" s="464">
        <f>M1277*N1277</f>
        <v>3.6136818181818184</v>
      </c>
      <c r="P1277" s="464">
        <f>M1277*60*1000</f>
        <v>972.7272727272727</v>
      </c>
      <c r="Q1277" s="480">
        <f>O1277*60</f>
        <v>216.8209090909091</v>
      </c>
    </row>
    <row r="1278" spans="1:17" ht="11.25">
      <c r="A1278" s="908"/>
      <c r="B1278" s="288">
        <v>2</v>
      </c>
      <c r="C1278" s="184" t="s">
        <v>906</v>
      </c>
      <c r="D1278" s="243">
        <v>6</v>
      </c>
      <c r="E1278" s="243">
        <v>1984</v>
      </c>
      <c r="F1278" s="405">
        <v>8.9</v>
      </c>
      <c r="G1278" s="405">
        <v>0.31</v>
      </c>
      <c r="H1278" s="405">
        <v>0.96</v>
      </c>
      <c r="I1278" s="405">
        <v>7.63</v>
      </c>
      <c r="J1278" s="401">
        <v>368</v>
      </c>
      <c r="K1278" s="405">
        <v>7.63</v>
      </c>
      <c r="L1278" s="401">
        <v>368</v>
      </c>
      <c r="M1278" s="347">
        <f>I1278/L1278</f>
        <v>0.020733695652173912</v>
      </c>
      <c r="N1278" s="345">
        <v>222.9</v>
      </c>
      <c r="O1278" s="345">
        <f>M1278*N1278</f>
        <v>4.621540760869565</v>
      </c>
      <c r="P1278" s="345">
        <f>M1278*60*1000</f>
        <v>1244.0217391304348</v>
      </c>
      <c r="Q1278" s="346">
        <f>O1278*60</f>
        <v>277.2924456521739</v>
      </c>
    </row>
    <row r="1279" spans="1:17" ht="11.25">
      <c r="A1279" s="908"/>
      <c r="B1279" s="288">
        <v>3</v>
      </c>
      <c r="C1279" s="184" t="s">
        <v>397</v>
      </c>
      <c r="D1279" s="243">
        <v>27</v>
      </c>
      <c r="E1279" s="243">
        <v>1999</v>
      </c>
      <c r="F1279" s="405">
        <v>36.42</v>
      </c>
      <c r="G1279" s="405">
        <v>2.6</v>
      </c>
      <c r="H1279" s="405">
        <v>4.32</v>
      </c>
      <c r="I1279" s="405">
        <v>29.5</v>
      </c>
      <c r="J1279" s="401">
        <v>1406</v>
      </c>
      <c r="K1279" s="405">
        <v>29.5</v>
      </c>
      <c r="L1279" s="401">
        <v>1406</v>
      </c>
      <c r="M1279" s="347">
        <f>I1279/L1279</f>
        <v>0.020981507823613087</v>
      </c>
      <c r="N1279" s="345">
        <v>222.9</v>
      </c>
      <c r="O1279" s="345">
        <f>M1279*N1279</f>
        <v>4.676778093883358</v>
      </c>
      <c r="P1279" s="345">
        <f>M1279*60*1000</f>
        <v>1258.8904694167852</v>
      </c>
      <c r="Q1279" s="346">
        <f>O1279*60</f>
        <v>280.60668563300146</v>
      </c>
    </row>
    <row r="1280" spans="1:17" ht="11.25">
      <c r="A1280" s="908"/>
      <c r="B1280" s="288">
        <v>4</v>
      </c>
      <c r="C1280" s="184" t="s">
        <v>907</v>
      </c>
      <c r="D1280" s="243">
        <v>27</v>
      </c>
      <c r="E1280" s="243">
        <v>1974</v>
      </c>
      <c r="F1280" s="405">
        <v>36</v>
      </c>
      <c r="G1280" s="405">
        <v>1.94</v>
      </c>
      <c r="H1280" s="405">
        <v>4.32</v>
      </c>
      <c r="I1280" s="405">
        <v>29.74</v>
      </c>
      <c r="J1280" s="401">
        <v>1417</v>
      </c>
      <c r="K1280" s="405">
        <v>29.74</v>
      </c>
      <c r="L1280" s="401">
        <v>1417</v>
      </c>
      <c r="M1280" s="347">
        <f>I1280/L1280</f>
        <v>0.02098800282286521</v>
      </c>
      <c r="N1280" s="345">
        <v>222.9</v>
      </c>
      <c r="O1280" s="345">
        <f>M1280*N1280</f>
        <v>4.678225829216655</v>
      </c>
      <c r="P1280" s="345">
        <f>M1280*60*1000</f>
        <v>1259.2801693719125</v>
      </c>
      <c r="Q1280" s="346">
        <f>O1280*60</f>
        <v>280.6935497529993</v>
      </c>
    </row>
    <row r="1281" spans="1:17" ht="11.25">
      <c r="A1281" s="908"/>
      <c r="B1281" s="288">
        <v>5</v>
      </c>
      <c r="C1281" s="184"/>
      <c r="D1281" s="243"/>
      <c r="E1281" s="243"/>
      <c r="F1281" s="405"/>
      <c r="G1281" s="405"/>
      <c r="H1281" s="405"/>
      <c r="I1281" s="405"/>
      <c r="J1281" s="401"/>
      <c r="K1281" s="405"/>
      <c r="L1281" s="401"/>
      <c r="M1281" s="347"/>
      <c r="N1281" s="345"/>
      <c r="O1281" s="345"/>
      <c r="P1281" s="345"/>
      <c r="Q1281" s="346"/>
    </row>
    <row r="1282" spans="1:17" ht="11.25">
      <c r="A1282" s="908"/>
      <c r="B1282" s="288">
        <v>6</v>
      </c>
      <c r="C1282" s="184"/>
      <c r="D1282" s="243"/>
      <c r="E1282" s="243"/>
      <c r="F1282" s="405"/>
      <c r="G1282" s="405"/>
      <c r="H1282" s="405"/>
      <c r="I1282" s="405"/>
      <c r="J1282" s="401"/>
      <c r="K1282" s="405"/>
      <c r="L1282" s="401"/>
      <c r="M1282" s="347"/>
      <c r="N1282" s="345"/>
      <c r="O1282" s="345"/>
      <c r="P1282" s="345"/>
      <c r="Q1282" s="346"/>
    </row>
    <row r="1283" spans="1:17" ht="11.25">
      <c r="A1283" s="908"/>
      <c r="B1283" s="288">
        <v>7</v>
      </c>
      <c r="C1283" s="184"/>
      <c r="D1283" s="163"/>
      <c r="E1283" s="163"/>
      <c r="F1283" s="422"/>
      <c r="G1283" s="405"/>
      <c r="H1283" s="405"/>
      <c r="I1283" s="405"/>
      <c r="J1283" s="401"/>
      <c r="K1283" s="405"/>
      <c r="L1283" s="401"/>
      <c r="M1283" s="326"/>
      <c r="N1283" s="324"/>
      <c r="O1283" s="260"/>
      <c r="P1283" s="259"/>
      <c r="Q1283" s="327"/>
    </row>
    <row r="1284" spans="1:17" ht="11.25">
      <c r="A1284" s="908"/>
      <c r="B1284" s="288">
        <v>8</v>
      </c>
      <c r="C1284" s="184"/>
      <c r="D1284" s="163"/>
      <c r="E1284" s="163"/>
      <c r="F1284" s="422"/>
      <c r="G1284" s="405"/>
      <c r="H1284" s="405"/>
      <c r="I1284" s="405"/>
      <c r="J1284" s="401"/>
      <c r="K1284" s="405"/>
      <c r="L1284" s="401"/>
      <c r="M1284" s="326"/>
      <c r="N1284" s="324"/>
      <c r="O1284" s="260"/>
      <c r="P1284" s="259"/>
      <c r="Q1284" s="327"/>
    </row>
    <row r="1285" spans="1:17" ht="11.25">
      <c r="A1285" s="908"/>
      <c r="B1285" s="288">
        <v>9</v>
      </c>
      <c r="C1285" s="184"/>
      <c r="D1285" s="163"/>
      <c r="E1285" s="163"/>
      <c r="F1285" s="422"/>
      <c r="G1285" s="405"/>
      <c r="H1285" s="405"/>
      <c r="I1285" s="405"/>
      <c r="J1285" s="401"/>
      <c r="K1285" s="405"/>
      <c r="L1285" s="401"/>
      <c r="M1285" s="326"/>
      <c r="N1285" s="324"/>
      <c r="O1285" s="260"/>
      <c r="P1285" s="259"/>
      <c r="Q1285" s="327"/>
    </row>
    <row r="1286" spans="1:17" ht="12" thickBot="1">
      <c r="A1286" s="909"/>
      <c r="B1286" s="290" t="s">
        <v>401</v>
      </c>
      <c r="C1286" s="185"/>
      <c r="D1286" s="424"/>
      <c r="E1286" s="424"/>
      <c r="F1286" s="433"/>
      <c r="G1286" s="406"/>
      <c r="H1286" s="406"/>
      <c r="I1286" s="406"/>
      <c r="J1286" s="402"/>
      <c r="K1286" s="406"/>
      <c r="L1286" s="402"/>
      <c r="M1286" s="441"/>
      <c r="N1286" s="255"/>
      <c r="O1286" s="425"/>
      <c r="P1286" s="425"/>
      <c r="Q1286" s="434"/>
    </row>
    <row r="1287" spans="1:17" ht="11.25">
      <c r="A1287" s="910" t="s">
        <v>30</v>
      </c>
      <c r="B1287" s="291">
        <v>1</v>
      </c>
      <c r="C1287" s="31" t="s">
        <v>398</v>
      </c>
      <c r="D1287" s="32">
        <v>40</v>
      </c>
      <c r="E1287" s="32">
        <v>1975</v>
      </c>
      <c r="F1287" s="373">
        <v>50.3</v>
      </c>
      <c r="G1287" s="373">
        <v>1.63</v>
      </c>
      <c r="H1287" s="373">
        <v>6.4</v>
      </c>
      <c r="I1287" s="373">
        <v>42.27</v>
      </c>
      <c r="J1287" s="375">
        <v>1908</v>
      </c>
      <c r="K1287" s="373">
        <v>42.27</v>
      </c>
      <c r="L1287" s="375">
        <v>1908</v>
      </c>
      <c r="M1287" s="335">
        <f>I1287/L1287</f>
        <v>0.022154088050314467</v>
      </c>
      <c r="N1287" s="236">
        <v>222.9</v>
      </c>
      <c r="O1287" s="236">
        <f>M1287*N1287</f>
        <v>4.938146226415094</v>
      </c>
      <c r="P1287" s="236">
        <f>M1287*60*1000</f>
        <v>1329.245283018868</v>
      </c>
      <c r="Q1287" s="300">
        <f>O1287*60</f>
        <v>296.28877358490564</v>
      </c>
    </row>
    <row r="1288" spans="1:17" ht="11.25">
      <c r="A1288" s="911"/>
      <c r="B1288" s="292">
        <v>2</v>
      </c>
      <c r="C1288" s="33" t="s">
        <v>908</v>
      </c>
      <c r="D1288" s="34">
        <v>29</v>
      </c>
      <c r="E1288" s="34">
        <v>1974</v>
      </c>
      <c r="F1288" s="200">
        <v>37.1</v>
      </c>
      <c r="G1288" s="200">
        <v>2.18</v>
      </c>
      <c r="H1288" s="200">
        <v>4.48</v>
      </c>
      <c r="I1288" s="200">
        <v>30.44</v>
      </c>
      <c r="J1288" s="309">
        <v>1359</v>
      </c>
      <c r="K1288" s="200">
        <v>30.44</v>
      </c>
      <c r="L1288" s="309">
        <v>1359</v>
      </c>
      <c r="M1288" s="301">
        <f>I1288/L1288</f>
        <v>0.02239882266372333</v>
      </c>
      <c r="N1288" s="176">
        <v>222.9</v>
      </c>
      <c r="O1288" s="176">
        <f>M1288*N1288</f>
        <v>4.99269757174393</v>
      </c>
      <c r="P1288" s="176">
        <f>M1288*60*1000</f>
        <v>1343.9293598233996</v>
      </c>
      <c r="Q1288" s="177">
        <f>O1288*60</f>
        <v>299.5618543046358</v>
      </c>
    </row>
    <row r="1289" spans="1:17" ht="11.25">
      <c r="A1289" s="911"/>
      <c r="B1289" s="292">
        <v>3</v>
      </c>
      <c r="C1289" s="33" t="s">
        <v>909</v>
      </c>
      <c r="D1289" s="34">
        <v>15</v>
      </c>
      <c r="E1289" s="34">
        <v>1992</v>
      </c>
      <c r="F1289" s="200">
        <v>28.8</v>
      </c>
      <c r="G1289" s="200">
        <v>1.22</v>
      </c>
      <c r="H1289" s="200">
        <v>2.4</v>
      </c>
      <c r="I1289" s="200">
        <v>19.18</v>
      </c>
      <c r="J1289" s="309">
        <v>842</v>
      </c>
      <c r="K1289" s="200">
        <v>19.18</v>
      </c>
      <c r="L1289" s="309">
        <v>842</v>
      </c>
      <c r="M1289" s="301">
        <f>I1289/L1289</f>
        <v>0.022779097387173396</v>
      </c>
      <c r="N1289" s="176">
        <v>222.9</v>
      </c>
      <c r="O1289" s="176">
        <f>M1289*N1289</f>
        <v>5.07746080760095</v>
      </c>
      <c r="P1289" s="176">
        <f>M1289*60*1000</f>
        <v>1366.7458432304038</v>
      </c>
      <c r="Q1289" s="177">
        <f>O1289*60</f>
        <v>304.647648456057</v>
      </c>
    </row>
    <row r="1290" spans="1:17" ht="11.25">
      <c r="A1290" s="911"/>
      <c r="B1290" s="292">
        <v>4</v>
      </c>
      <c r="C1290" s="33" t="s">
        <v>910</v>
      </c>
      <c r="D1290" s="34">
        <v>28</v>
      </c>
      <c r="E1290" s="34">
        <v>1974</v>
      </c>
      <c r="F1290" s="200">
        <v>40.1</v>
      </c>
      <c r="G1290" s="200">
        <v>2.3</v>
      </c>
      <c r="H1290" s="200">
        <v>4.48</v>
      </c>
      <c r="I1290" s="200">
        <v>33.32</v>
      </c>
      <c r="J1290" s="309">
        <v>1391</v>
      </c>
      <c r="K1290" s="200">
        <v>33.32</v>
      </c>
      <c r="L1290" s="309">
        <v>1391</v>
      </c>
      <c r="M1290" s="301">
        <f>I1290/L1290</f>
        <v>0.023953989935298348</v>
      </c>
      <c r="N1290" s="176">
        <v>222.9</v>
      </c>
      <c r="O1290" s="176">
        <f>M1290*N1290</f>
        <v>5.339344356578001</v>
      </c>
      <c r="P1290" s="176">
        <f>M1290*60*1000</f>
        <v>1437.239396117901</v>
      </c>
      <c r="Q1290" s="177">
        <f>O1290*60</f>
        <v>320.3606613946801</v>
      </c>
    </row>
    <row r="1291" spans="1:17" ht="11.25">
      <c r="A1291" s="911"/>
      <c r="B1291" s="292">
        <v>5</v>
      </c>
      <c r="C1291" s="33"/>
      <c r="D1291" s="34"/>
      <c r="E1291" s="34"/>
      <c r="F1291" s="200"/>
      <c r="G1291" s="200"/>
      <c r="H1291" s="200"/>
      <c r="I1291" s="200"/>
      <c r="J1291" s="309"/>
      <c r="K1291" s="200"/>
      <c r="L1291" s="309"/>
      <c r="M1291" s="301"/>
      <c r="N1291" s="176"/>
      <c r="O1291" s="176"/>
      <c r="P1291" s="176"/>
      <c r="Q1291" s="177"/>
    </row>
    <row r="1292" spans="1:17" ht="11.25">
      <c r="A1292" s="911"/>
      <c r="B1292" s="292">
        <v>6</v>
      </c>
      <c r="C1292" s="33"/>
      <c r="D1292" s="34"/>
      <c r="E1292" s="34"/>
      <c r="F1292" s="200"/>
      <c r="G1292" s="200"/>
      <c r="H1292" s="200"/>
      <c r="I1292" s="200"/>
      <c r="J1292" s="309"/>
      <c r="K1292" s="200"/>
      <c r="L1292" s="309"/>
      <c r="M1292" s="301"/>
      <c r="N1292" s="176"/>
      <c r="O1292" s="176"/>
      <c r="P1292" s="176"/>
      <c r="Q1292" s="177"/>
    </row>
    <row r="1293" spans="1:17" ht="11.25">
      <c r="A1293" s="911"/>
      <c r="B1293" s="292">
        <v>7</v>
      </c>
      <c r="C1293" s="74"/>
      <c r="D1293" s="134"/>
      <c r="E1293" s="134"/>
      <c r="F1293" s="388"/>
      <c r="G1293" s="237"/>
      <c r="H1293" s="237"/>
      <c r="I1293" s="237"/>
      <c r="J1293" s="394"/>
      <c r="K1293" s="237"/>
      <c r="L1293" s="394"/>
      <c r="M1293" s="209"/>
      <c r="N1293" s="220"/>
      <c r="O1293" s="208"/>
      <c r="P1293" s="208"/>
      <c r="Q1293" s="210"/>
    </row>
    <row r="1294" spans="1:17" ht="11.25">
      <c r="A1294" s="911"/>
      <c r="B1294" s="292">
        <v>8</v>
      </c>
      <c r="C1294" s="33"/>
      <c r="D1294" s="135"/>
      <c r="E1294" s="135"/>
      <c r="F1294" s="222"/>
      <c r="G1294" s="200"/>
      <c r="H1294" s="200"/>
      <c r="I1294" s="200"/>
      <c r="J1294" s="309"/>
      <c r="K1294" s="200"/>
      <c r="L1294" s="309"/>
      <c r="M1294" s="146"/>
      <c r="N1294" s="220"/>
      <c r="O1294" s="148"/>
      <c r="P1294" s="208"/>
      <c r="Q1294" s="149"/>
    </row>
    <row r="1295" spans="1:17" ht="11.25">
      <c r="A1295" s="911"/>
      <c r="B1295" s="292">
        <v>9</v>
      </c>
      <c r="C1295" s="33"/>
      <c r="D1295" s="135"/>
      <c r="E1295" s="135"/>
      <c r="F1295" s="222"/>
      <c r="G1295" s="200"/>
      <c r="H1295" s="200"/>
      <c r="I1295" s="200"/>
      <c r="J1295" s="309"/>
      <c r="K1295" s="200"/>
      <c r="L1295" s="309"/>
      <c r="M1295" s="146"/>
      <c r="N1295" s="220"/>
      <c r="O1295" s="148"/>
      <c r="P1295" s="208"/>
      <c r="Q1295" s="149"/>
    </row>
    <row r="1296" spans="1:17" ht="12" thickBot="1">
      <c r="A1296" s="912"/>
      <c r="B1296" s="293" t="s">
        <v>401</v>
      </c>
      <c r="C1296" s="35"/>
      <c r="D1296" s="136"/>
      <c r="E1296" s="136"/>
      <c r="F1296" s="312"/>
      <c r="G1296" s="374"/>
      <c r="H1296" s="374"/>
      <c r="I1296" s="374"/>
      <c r="J1296" s="311"/>
      <c r="K1296" s="374"/>
      <c r="L1296" s="311"/>
      <c r="M1296" s="211"/>
      <c r="N1296" s="370"/>
      <c r="O1296" s="212"/>
      <c r="P1296" s="212"/>
      <c r="Q1296" s="213"/>
    </row>
    <row r="1297" spans="1:17" ht="11.25">
      <c r="A1297" s="913" t="s">
        <v>12</v>
      </c>
      <c r="B1297" s="291">
        <v>1</v>
      </c>
      <c r="C1297" s="47" t="s">
        <v>911</v>
      </c>
      <c r="D1297" s="39">
        <v>6</v>
      </c>
      <c r="E1297" s="39">
        <v>1982</v>
      </c>
      <c r="F1297" s="379">
        <v>11</v>
      </c>
      <c r="G1297" s="379">
        <v>0.26</v>
      </c>
      <c r="H1297" s="379">
        <v>0.96</v>
      </c>
      <c r="I1297" s="379">
        <v>9.78</v>
      </c>
      <c r="J1297" s="398">
        <v>275</v>
      </c>
      <c r="K1297" s="379">
        <v>9.78</v>
      </c>
      <c r="L1297" s="398">
        <v>275</v>
      </c>
      <c r="M1297" s="538">
        <f>I1297/L1297</f>
        <v>0.03556363636363636</v>
      </c>
      <c r="N1297" s="178">
        <v>222.9</v>
      </c>
      <c r="O1297" s="178">
        <f>M1297*N1297</f>
        <v>7.927134545454545</v>
      </c>
      <c r="P1297" s="190">
        <f>M1297*60*1000</f>
        <v>2133.8181818181815</v>
      </c>
      <c r="Q1297" s="191">
        <f>O1297*60</f>
        <v>475.6280727272727</v>
      </c>
    </row>
    <row r="1298" spans="1:17" ht="11.25">
      <c r="A1298" s="914"/>
      <c r="B1298" s="292">
        <v>2</v>
      </c>
      <c r="C1298" s="48" t="s">
        <v>912</v>
      </c>
      <c r="D1298" s="41">
        <v>12</v>
      </c>
      <c r="E1298" s="41">
        <v>1981</v>
      </c>
      <c r="F1298" s="201">
        <v>22.5</v>
      </c>
      <c r="G1298" s="201">
        <v>0.51</v>
      </c>
      <c r="H1298" s="201">
        <v>1.92</v>
      </c>
      <c r="I1298" s="201">
        <v>20.07</v>
      </c>
      <c r="J1298" s="376">
        <v>558</v>
      </c>
      <c r="K1298" s="201">
        <v>20.07</v>
      </c>
      <c r="L1298" s="376">
        <v>558</v>
      </c>
      <c r="M1298" s="286">
        <f>I1298/L1298</f>
        <v>0.03596774193548387</v>
      </c>
      <c r="N1298" s="178">
        <v>222.9</v>
      </c>
      <c r="O1298" s="178">
        <f>M1298*N1298</f>
        <v>8.017209677419354</v>
      </c>
      <c r="P1298" s="178">
        <f>M1298*60*1000</f>
        <v>2158.0645161290317</v>
      </c>
      <c r="Q1298" s="265">
        <f>O1298*60</f>
        <v>481.0325806451612</v>
      </c>
    </row>
    <row r="1299" spans="1:17" ht="11.25">
      <c r="A1299" s="914"/>
      <c r="B1299" s="292">
        <v>3</v>
      </c>
      <c r="C1299" s="48" t="s">
        <v>913</v>
      </c>
      <c r="D1299" s="41">
        <v>6</v>
      </c>
      <c r="E1299" s="41">
        <v>1981</v>
      </c>
      <c r="F1299" s="201">
        <v>14.5</v>
      </c>
      <c r="G1299" s="201">
        <v>0.46</v>
      </c>
      <c r="H1299" s="201">
        <v>0.96</v>
      </c>
      <c r="I1299" s="201">
        <v>13.08</v>
      </c>
      <c r="J1299" s="376">
        <v>347</v>
      </c>
      <c r="K1299" s="201">
        <v>13.08</v>
      </c>
      <c r="L1299" s="376">
        <v>347</v>
      </c>
      <c r="M1299" s="286">
        <f>I1299/L1299</f>
        <v>0.037694524495677235</v>
      </c>
      <c r="N1299" s="178">
        <v>222.9</v>
      </c>
      <c r="O1299" s="178">
        <f>M1299*N1299</f>
        <v>8.402109510086456</v>
      </c>
      <c r="P1299" s="178">
        <f>M1299*60*1000</f>
        <v>2261.671469740634</v>
      </c>
      <c r="Q1299" s="265">
        <f>O1299*60</f>
        <v>504.12657060518734</v>
      </c>
    </row>
    <row r="1300" spans="1:17" ht="11.25">
      <c r="A1300" s="914"/>
      <c r="B1300" s="292">
        <v>4</v>
      </c>
      <c r="C1300" s="48" t="s">
        <v>914</v>
      </c>
      <c r="D1300" s="41">
        <v>9</v>
      </c>
      <c r="E1300" s="41">
        <v>1981</v>
      </c>
      <c r="F1300" s="201">
        <v>18.3</v>
      </c>
      <c r="G1300" s="201">
        <v>0.36</v>
      </c>
      <c r="H1300" s="201">
        <v>1.44</v>
      </c>
      <c r="I1300" s="201">
        <v>16.5</v>
      </c>
      <c r="J1300" s="376">
        <v>412</v>
      </c>
      <c r="K1300" s="201">
        <v>16.5</v>
      </c>
      <c r="L1300" s="376">
        <v>412</v>
      </c>
      <c r="M1300" s="286">
        <f>I1300/L1300</f>
        <v>0.04004854368932039</v>
      </c>
      <c r="N1300" s="178">
        <v>222.9</v>
      </c>
      <c r="O1300" s="178">
        <f>M1300*N1300</f>
        <v>8.926820388349515</v>
      </c>
      <c r="P1300" s="178">
        <f>M1300*60*1000</f>
        <v>2402.9126213592235</v>
      </c>
      <c r="Q1300" s="265">
        <f>O1300*60</f>
        <v>535.6092233009709</v>
      </c>
    </row>
    <row r="1301" spans="1:17" ht="11.25">
      <c r="A1301" s="914"/>
      <c r="B1301" s="292">
        <v>5</v>
      </c>
      <c r="C1301" s="48" t="s">
        <v>915</v>
      </c>
      <c r="D1301" s="41">
        <v>6</v>
      </c>
      <c r="E1301" s="41">
        <v>1984</v>
      </c>
      <c r="F1301" s="201">
        <v>12.6</v>
      </c>
      <c r="G1301" s="201">
        <v>0.1</v>
      </c>
      <c r="H1301" s="201">
        <v>0.96</v>
      </c>
      <c r="I1301" s="201">
        <v>11.54</v>
      </c>
      <c r="J1301" s="376">
        <v>281</v>
      </c>
      <c r="K1301" s="201">
        <v>11.54</v>
      </c>
      <c r="L1301" s="376">
        <v>281</v>
      </c>
      <c r="M1301" s="286">
        <f>I1301/L1301</f>
        <v>0.041067615658362984</v>
      </c>
      <c r="N1301" s="178">
        <v>222.9</v>
      </c>
      <c r="O1301" s="178">
        <f>M1301*N1301</f>
        <v>9.153971530249109</v>
      </c>
      <c r="P1301" s="178">
        <f>M1301*60*1000</f>
        <v>2464.0569395017787</v>
      </c>
      <c r="Q1301" s="265">
        <f>O1301*60</f>
        <v>549.2382918149465</v>
      </c>
    </row>
    <row r="1302" spans="1:17" ht="11.25">
      <c r="A1302" s="914"/>
      <c r="B1302" s="292">
        <v>6</v>
      </c>
      <c r="C1302" s="48"/>
      <c r="D1302" s="137"/>
      <c r="E1302" s="137"/>
      <c r="F1302" s="218"/>
      <c r="G1302" s="201"/>
      <c r="H1302" s="201"/>
      <c r="I1302" s="201"/>
      <c r="J1302" s="376"/>
      <c r="K1302" s="201"/>
      <c r="L1302" s="376"/>
      <c r="M1302" s="150"/>
      <c r="N1302" s="151"/>
      <c r="O1302" s="152"/>
      <c r="P1302" s="171"/>
      <c r="Q1302" s="172"/>
    </row>
    <row r="1303" spans="1:17" ht="11.25">
      <c r="A1303" s="914"/>
      <c r="B1303" s="292">
        <v>7</v>
      </c>
      <c r="C1303" s="48"/>
      <c r="D1303" s="137"/>
      <c r="E1303" s="137"/>
      <c r="F1303" s="218"/>
      <c r="G1303" s="201"/>
      <c r="H1303" s="201"/>
      <c r="I1303" s="201"/>
      <c r="J1303" s="376"/>
      <c r="K1303" s="201"/>
      <c r="L1303" s="376"/>
      <c r="M1303" s="150"/>
      <c r="N1303" s="168"/>
      <c r="O1303" s="152"/>
      <c r="P1303" s="171"/>
      <c r="Q1303" s="153"/>
    </row>
    <row r="1304" spans="1:17" ht="11.25">
      <c r="A1304" s="914"/>
      <c r="B1304" s="292">
        <v>8</v>
      </c>
      <c r="C1304" s="48"/>
      <c r="D1304" s="137"/>
      <c r="E1304" s="137"/>
      <c r="F1304" s="218"/>
      <c r="G1304" s="201"/>
      <c r="H1304" s="201"/>
      <c r="I1304" s="201"/>
      <c r="J1304" s="376"/>
      <c r="K1304" s="201"/>
      <c r="L1304" s="376"/>
      <c r="M1304" s="150"/>
      <c r="N1304" s="168"/>
      <c r="O1304" s="152"/>
      <c r="P1304" s="171"/>
      <c r="Q1304" s="153"/>
    </row>
    <row r="1305" spans="1:17" ht="11.25">
      <c r="A1305" s="914"/>
      <c r="B1305" s="292">
        <v>9</v>
      </c>
      <c r="C1305" s="48"/>
      <c r="D1305" s="137"/>
      <c r="E1305" s="369"/>
      <c r="F1305" s="218"/>
      <c r="G1305" s="201"/>
      <c r="H1305" s="201"/>
      <c r="I1305" s="201"/>
      <c r="J1305" s="376"/>
      <c r="K1305" s="201"/>
      <c r="L1305" s="376"/>
      <c r="M1305" s="150"/>
      <c r="N1305" s="168"/>
      <c r="O1305" s="152"/>
      <c r="P1305" s="171"/>
      <c r="Q1305" s="153"/>
    </row>
    <row r="1306" spans="1:17" ht="12" thickBot="1">
      <c r="A1306" s="915"/>
      <c r="B1306" s="293" t="s">
        <v>401</v>
      </c>
      <c r="C1306" s="51"/>
      <c r="D1306" s="138"/>
      <c r="E1306" s="138"/>
      <c r="F1306" s="251"/>
      <c r="G1306" s="380"/>
      <c r="H1306" s="380"/>
      <c r="I1306" s="380"/>
      <c r="J1306" s="384"/>
      <c r="K1306" s="380"/>
      <c r="L1306" s="384"/>
      <c r="M1306" s="154"/>
      <c r="N1306" s="155"/>
      <c r="O1306" s="156"/>
      <c r="P1306" s="156"/>
      <c r="Q1306" s="157"/>
    </row>
    <row r="1310" spans="1:17" ht="15">
      <c r="A1310" s="967" t="s">
        <v>943</v>
      </c>
      <c r="B1310" s="967"/>
      <c r="C1310" s="967"/>
      <c r="D1310" s="967"/>
      <c r="E1310" s="967"/>
      <c r="F1310" s="967"/>
      <c r="G1310" s="967"/>
      <c r="H1310" s="967"/>
      <c r="I1310" s="967"/>
      <c r="J1310" s="967"/>
      <c r="K1310" s="967"/>
      <c r="L1310" s="967"/>
      <c r="M1310" s="967"/>
      <c r="N1310" s="967"/>
      <c r="O1310" s="967"/>
      <c r="P1310" s="967"/>
      <c r="Q1310" s="967"/>
    </row>
    <row r="1311" spans="1:17" ht="13.5" thickBot="1">
      <c r="A1311" s="968" t="s">
        <v>944</v>
      </c>
      <c r="B1311" s="968"/>
      <c r="C1311" s="968"/>
      <c r="D1311" s="968"/>
      <c r="E1311" s="968"/>
      <c r="F1311" s="968"/>
      <c r="G1311" s="968"/>
      <c r="H1311" s="968"/>
      <c r="I1311" s="968"/>
      <c r="J1311" s="968"/>
      <c r="K1311" s="968"/>
      <c r="L1311" s="968"/>
      <c r="M1311" s="968"/>
      <c r="N1311" s="968"/>
      <c r="O1311" s="968"/>
      <c r="P1311" s="968"/>
      <c r="Q1311" s="968"/>
    </row>
    <row r="1312" spans="1:17" ht="11.25">
      <c r="A1312" s="952" t="s">
        <v>1</v>
      </c>
      <c r="B1312" s="955" t="s">
        <v>0</v>
      </c>
      <c r="C1312" s="944" t="s">
        <v>2</v>
      </c>
      <c r="D1312" s="944" t="s">
        <v>3</v>
      </c>
      <c r="E1312" s="944" t="s">
        <v>13</v>
      </c>
      <c r="F1312" s="960" t="s">
        <v>14</v>
      </c>
      <c r="G1312" s="961"/>
      <c r="H1312" s="961"/>
      <c r="I1312" s="962"/>
      <c r="J1312" s="944" t="s">
        <v>4</v>
      </c>
      <c r="K1312" s="944" t="s">
        <v>15</v>
      </c>
      <c r="L1312" s="944" t="s">
        <v>5</v>
      </c>
      <c r="M1312" s="944" t="s">
        <v>6</v>
      </c>
      <c r="N1312" s="944" t="s">
        <v>16</v>
      </c>
      <c r="O1312" s="944" t="s">
        <v>17</v>
      </c>
      <c r="P1312" s="944" t="s">
        <v>25</v>
      </c>
      <c r="Q1312" s="929" t="s">
        <v>26</v>
      </c>
    </row>
    <row r="1313" spans="1:17" ht="33.75">
      <c r="A1313" s="953"/>
      <c r="B1313" s="956"/>
      <c r="C1313" s="958"/>
      <c r="D1313" s="945"/>
      <c r="E1313" s="945"/>
      <c r="F1313" s="37" t="s">
        <v>18</v>
      </c>
      <c r="G1313" s="37" t="s">
        <v>19</v>
      </c>
      <c r="H1313" s="37" t="s">
        <v>20</v>
      </c>
      <c r="I1313" s="37" t="s">
        <v>21</v>
      </c>
      <c r="J1313" s="945"/>
      <c r="K1313" s="945"/>
      <c r="L1313" s="945"/>
      <c r="M1313" s="945"/>
      <c r="N1313" s="945"/>
      <c r="O1313" s="945"/>
      <c r="P1313" s="945"/>
      <c r="Q1313" s="930"/>
    </row>
    <row r="1314" spans="1:17" ht="23.25" thickBot="1">
      <c r="A1314" s="953"/>
      <c r="B1314" s="957"/>
      <c r="C1314" s="959"/>
      <c r="D1314" s="58" t="s">
        <v>7</v>
      </c>
      <c r="E1314" s="58" t="s">
        <v>8</v>
      </c>
      <c r="F1314" s="58" t="s">
        <v>9</v>
      </c>
      <c r="G1314" s="58" t="s">
        <v>9</v>
      </c>
      <c r="H1314" s="58" t="s">
        <v>9</v>
      </c>
      <c r="I1314" s="58" t="s">
        <v>9</v>
      </c>
      <c r="J1314" s="58" t="s">
        <v>22</v>
      </c>
      <c r="K1314" s="58" t="s">
        <v>9</v>
      </c>
      <c r="L1314" s="58" t="s">
        <v>22</v>
      </c>
      <c r="M1314" s="58" t="s">
        <v>134</v>
      </c>
      <c r="N1314" s="58" t="s">
        <v>10</v>
      </c>
      <c r="O1314" s="58" t="s">
        <v>135</v>
      </c>
      <c r="P1314" s="59" t="s">
        <v>27</v>
      </c>
      <c r="Q1314" s="60" t="s">
        <v>28</v>
      </c>
    </row>
    <row r="1315" spans="1:17" ht="11.25">
      <c r="A1315" s="913" t="s">
        <v>12</v>
      </c>
      <c r="B1315" s="5">
        <v>1</v>
      </c>
      <c r="C1315" s="540" t="s">
        <v>945</v>
      </c>
      <c r="D1315" s="435">
        <v>30</v>
      </c>
      <c r="E1315" s="435">
        <v>1990</v>
      </c>
      <c r="F1315" s="661">
        <f aca="true" t="shared" si="204" ref="F1315:F1324">G1315+H1315+I1315</f>
        <v>40.710999</v>
      </c>
      <c r="G1315" s="661">
        <v>2.818175</v>
      </c>
      <c r="H1315" s="661">
        <v>5.1</v>
      </c>
      <c r="I1315" s="661">
        <v>32.792824</v>
      </c>
      <c r="J1315" s="457">
        <v>1607</v>
      </c>
      <c r="K1315" s="661">
        <f aca="true" t="shared" si="205" ref="K1315:K1324">F1315</f>
        <v>40.710999</v>
      </c>
      <c r="L1315" s="662">
        <f aca="true" t="shared" si="206" ref="L1315:L1324">J1315</f>
        <v>1607</v>
      </c>
      <c r="M1315" s="658">
        <f aca="true" t="shared" si="207" ref="M1315:M1324">K1315/L1315</f>
        <v>0.025333540136901058</v>
      </c>
      <c r="N1315" s="659">
        <v>327</v>
      </c>
      <c r="O1315" s="171">
        <f aca="true" t="shared" si="208" ref="O1315:O1324">M1315*N1315</f>
        <v>8.284067624766646</v>
      </c>
      <c r="P1315" s="171">
        <f aca="true" t="shared" si="209" ref="P1315:P1324">M1315*60*1000</f>
        <v>1520.0124082140635</v>
      </c>
      <c r="Q1315" s="172">
        <f aca="true" t="shared" si="210" ref="Q1315:Q1324">P1315*N1315/1000</f>
        <v>497.0440574859988</v>
      </c>
    </row>
    <row r="1316" spans="1:17" ht="11.25">
      <c r="A1316" s="914"/>
      <c r="B1316" s="5">
        <v>2</v>
      </c>
      <c r="C1316" s="169" t="s">
        <v>946</v>
      </c>
      <c r="D1316" s="137">
        <v>50</v>
      </c>
      <c r="E1316" s="137">
        <v>1972</v>
      </c>
      <c r="F1316" s="218">
        <f t="shared" si="204"/>
        <v>66.28601</v>
      </c>
      <c r="G1316" s="218">
        <v>3.192127</v>
      </c>
      <c r="H1316" s="218">
        <v>8</v>
      </c>
      <c r="I1316" s="218">
        <v>55.093883</v>
      </c>
      <c r="J1316" s="275">
        <v>2563.1</v>
      </c>
      <c r="K1316" s="218">
        <f t="shared" si="205"/>
        <v>66.28601</v>
      </c>
      <c r="L1316" s="275">
        <f t="shared" si="206"/>
        <v>2563.1</v>
      </c>
      <c r="M1316" s="150">
        <f t="shared" si="207"/>
        <v>0.025861655807420704</v>
      </c>
      <c r="N1316" s="151">
        <v>327</v>
      </c>
      <c r="O1316" s="152">
        <f t="shared" si="208"/>
        <v>8.45676144902657</v>
      </c>
      <c r="P1316" s="171">
        <f t="shared" si="209"/>
        <v>1551.699348445242</v>
      </c>
      <c r="Q1316" s="153">
        <f t="shared" si="210"/>
        <v>507.4056869415942</v>
      </c>
    </row>
    <row r="1317" spans="1:17" ht="11.25">
      <c r="A1317" s="914"/>
      <c r="B1317" s="5">
        <v>3</v>
      </c>
      <c r="C1317" s="169" t="s">
        <v>947</v>
      </c>
      <c r="D1317" s="137">
        <v>44</v>
      </c>
      <c r="E1317" s="137">
        <v>1970</v>
      </c>
      <c r="F1317" s="218">
        <f t="shared" si="204"/>
        <v>60.243014</v>
      </c>
      <c r="G1317" s="218">
        <v>3.603929</v>
      </c>
      <c r="H1317" s="218">
        <v>7.04</v>
      </c>
      <c r="I1317" s="218">
        <v>49.599085</v>
      </c>
      <c r="J1317" s="275">
        <v>2310.7</v>
      </c>
      <c r="K1317" s="218">
        <f t="shared" si="205"/>
        <v>60.243014</v>
      </c>
      <c r="L1317" s="275">
        <f t="shared" si="206"/>
        <v>2310.7</v>
      </c>
      <c r="M1317" s="150">
        <f t="shared" si="207"/>
        <v>0.02607132643787597</v>
      </c>
      <c r="N1317" s="151">
        <v>327</v>
      </c>
      <c r="O1317" s="152">
        <f t="shared" si="208"/>
        <v>8.525323745185442</v>
      </c>
      <c r="P1317" s="171">
        <f t="shared" si="209"/>
        <v>1564.2795862725582</v>
      </c>
      <c r="Q1317" s="153">
        <f t="shared" si="210"/>
        <v>511.51942471112653</v>
      </c>
    </row>
    <row r="1318" spans="1:17" ht="11.25">
      <c r="A1318" s="914"/>
      <c r="B1318" s="5">
        <v>4</v>
      </c>
      <c r="C1318" s="169" t="s">
        <v>948</v>
      </c>
      <c r="D1318" s="137">
        <v>44</v>
      </c>
      <c r="E1318" s="137">
        <v>1968</v>
      </c>
      <c r="F1318" s="218">
        <f t="shared" si="204"/>
        <v>66.112008</v>
      </c>
      <c r="G1318" s="218">
        <v>3.254244</v>
      </c>
      <c r="H1318" s="218">
        <v>7.84</v>
      </c>
      <c r="I1318" s="218">
        <v>55.017764</v>
      </c>
      <c r="J1318" s="275">
        <v>2515.7</v>
      </c>
      <c r="K1318" s="218">
        <f t="shared" si="205"/>
        <v>66.112008</v>
      </c>
      <c r="L1318" s="275">
        <f t="shared" si="206"/>
        <v>2515.7</v>
      </c>
      <c r="M1318" s="150">
        <f t="shared" si="207"/>
        <v>0.02627976626783798</v>
      </c>
      <c r="N1318" s="151">
        <v>327</v>
      </c>
      <c r="O1318" s="152">
        <f t="shared" si="208"/>
        <v>8.59348356958302</v>
      </c>
      <c r="P1318" s="171">
        <f t="shared" si="209"/>
        <v>1576.7859760702788</v>
      </c>
      <c r="Q1318" s="153">
        <f t="shared" si="210"/>
        <v>515.6090141749812</v>
      </c>
    </row>
    <row r="1319" spans="1:17" ht="11.25">
      <c r="A1319" s="914"/>
      <c r="B1319" s="5">
        <v>5</v>
      </c>
      <c r="C1319" s="169" t="s">
        <v>949</v>
      </c>
      <c r="D1319" s="137">
        <v>44</v>
      </c>
      <c r="E1319" s="137">
        <v>1966</v>
      </c>
      <c r="F1319" s="218">
        <f t="shared" si="204"/>
        <v>52.150008</v>
      </c>
      <c r="G1319" s="218">
        <v>3.191054</v>
      </c>
      <c r="H1319" s="218">
        <v>7.04</v>
      </c>
      <c r="I1319" s="218">
        <v>41.918954</v>
      </c>
      <c r="J1319" s="275">
        <v>1948.2</v>
      </c>
      <c r="K1319" s="218">
        <f t="shared" si="205"/>
        <v>52.150008</v>
      </c>
      <c r="L1319" s="275">
        <f t="shared" si="206"/>
        <v>1948.2</v>
      </c>
      <c r="M1319" s="150">
        <f t="shared" si="207"/>
        <v>0.026768303048968278</v>
      </c>
      <c r="N1319" s="151">
        <v>327</v>
      </c>
      <c r="O1319" s="152">
        <f t="shared" si="208"/>
        <v>8.753235097012627</v>
      </c>
      <c r="P1319" s="171">
        <f t="shared" si="209"/>
        <v>1606.0981829380967</v>
      </c>
      <c r="Q1319" s="153">
        <f t="shared" si="210"/>
        <v>525.1941058207576</v>
      </c>
    </row>
    <row r="1320" spans="1:17" ht="11.25">
      <c r="A1320" s="914"/>
      <c r="B1320" s="5">
        <v>6</v>
      </c>
      <c r="C1320" s="169" t="s">
        <v>950</v>
      </c>
      <c r="D1320" s="137">
        <v>20</v>
      </c>
      <c r="E1320" s="137">
        <v>1989</v>
      </c>
      <c r="F1320" s="218">
        <f t="shared" si="204"/>
        <v>28.469004</v>
      </c>
      <c r="G1320" s="218">
        <v>2.167491</v>
      </c>
      <c r="H1320" s="218">
        <v>3.4</v>
      </c>
      <c r="I1320" s="218">
        <v>22.901513</v>
      </c>
      <c r="J1320" s="275">
        <v>1048.7</v>
      </c>
      <c r="K1320" s="218">
        <f t="shared" si="205"/>
        <v>28.469004</v>
      </c>
      <c r="L1320" s="275">
        <f t="shared" si="206"/>
        <v>1048.7</v>
      </c>
      <c r="M1320" s="150">
        <f t="shared" si="207"/>
        <v>0.027146947649470773</v>
      </c>
      <c r="N1320" s="151">
        <v>327</v>
      </c>
      <c r="O1320" s="152">
        <f t="shared" si="208"/>
        <v>8.877051881376943</v>
      </c>
      <c r="P1320" s="171">
        <f t="shared" si="209"/>
        <v>1628.8168589682464</v>
      </c>
      <c r="Q1320" s="153">
        <f t="shared" si="210"/>
        <v>532.6231128826166</v>
      </c>
    </row>
    <row r="1321" spans="1:17" ht="11.25">
      <c r="A1321" s="914"/>
      <c r="B1321" s="5">
        <v>7</v>
      </c>
      <c r="C1321" s="169" t="s">
        <v>951</v>
      </c>
      <c r="D1321" s="137">
        <v>22</v>
      </c>
      <c r="E1321" s="137">
        <v>1987</v>
      </c>
      <c r="F1321" s="218">
        <f t="shared" si="204"/>
        <v>32.792005</v>
      </c>
      <c r="G1321" s="218">
        <v>1.530999</v>
      </c>
      <c r="H1321" s="218">
        <v>3.4</v>
      </c>
      <c r="I1321" s="218">
        <v>27.861006</v>
      </c>
      <c r="J1321" s="275">
        <v>1081.6</v>
      </c>
      <c r="K1321" s="218">
        <f t="shared" si="205"/>
        <v>32.792005</v>
      </c>
      <c r="L1321" s="275">
        <f t="shared" si="206"/>
        <v>1081.6</v>
      </c>
      <c r="M1321" s="150">
        <f t="shared" si="207"/>
        <v>0.030318051960059177</v>
      </c>
      <c r="N1321" s="137">
        <v>327</v>
      </c>
      <c r="O1321" s="152">
        <f t="shared" si="208"/>
        <v>9.91400299093935</v>
      </c>
      <c r="P1321" s="171">
        <f t="shared" si="209"/>
        <v>1819.0831176035506</v>
      </c>
      <c r="Q1321" s="153">
        <f t="shared" si="210"/>
        <v>594.8401794563609</v>
      </c>
    </row>
    <row r="1322" spans="1:17" ht="11.25">
      <c r="A1322" s="914"/>
      <c r="B1322" s="5">
        <v>8</v>
      </c>
      <c r="C1322" s="169" t="s">
        <v>952</v>
      </c>
      <c r="D1322" s="137">
        <v>22</v>
      </c>
      <c r="E1322" s="137">
        <v>1985</v>
      </c>
      <c r="F1322" s="218">
        <f t="shared" si="204"/>
        <v>35.215005000000005</v>
      </c>
      <c r="G1322" s="218">
        <v>3.015941</v>
      </c>
      <c r="H1322" s="218">
        <v>3.74</v>
      </c>
      <c r="I1322" s="218">
        <v>28.459064</v>
      </c>
      <c r="J1322" s="275">
        <v>1124.8</v>
      </c>
      <c r="K1322" s="218">
        <f t="shared" si="205"/>
        <v>35.215005000000005</v>
      </c>
      <c r="L1322" s="275">
        <f t="shared" si="206"/>
        <v>1124.8</v>
      </c>
      <c r="M1322" s="150">
        <f t="shared" si="207"/>
        <v>0.03130779249644382</v>
      </c>
      <c r="N1322" s="151">
        <v>327</v>
      </c>
      <c r="O1322" s="152">
        <f t="shared" si="208"/>
        <v>10.23764814633713</v>
      </c>
      <c r="P1322" s="171">
        <f t="shared" si="209"/>
        <v>1878.467549786629</v>
      </c>
      <c r="Q1322" s="153">
        <f t="shared" si="210"/>
        <v>614.2588887802276</v>
      </c>
    </row>
    <row r="1323" spans="1:17" ht="11.25">
      <c r="A1323" s="914"/>
      <c r="B1323" s="5">
        <v>9</v>
      </c>
      <c r="C1323" s="169" t="s">
        <v>953</v>
      </c>
      <c r="D1323" s="137">
        <v>9</v>
      </c>
      <c r="E1323" s="137">
        <v>1990</v>
      </c>
      <c r="F1323" s="218">
        <f t="shared" si="204"/>
        <v>14.847999</v>
      </c>
      <c r="G1323" s="218">
        <v>0.890912</v>
      </c>
      <c r="H1323" s="218">
        <v>1.44</v>
      </c>
      <c r="I1323" s="218">
        <v>12.517087</v>
      </c>
      <c r="J1323" s="275">
        <v>464.1</v>
      </c>
      <c r="K1323" s="218">
        <f t="shared" si="205"/>
        <v>14.847999</v>
      </c>
      <c r="L1323" s="275">
        <f t="shared" si="206"/>
        <v>464.1</v>
      </c>
      <c r="M1323" s="150">
        <f t="shared" si="207"/>
        <v>0.03199310277957337</v>
      </c>
      <c r="N1323" s="151">
        <v>327</v>
      </c>
      <c r="O1323" s="152">
        <f t="shared" si="208"/>
        <v>10.46174460892049</v>
      </c>
      <c r="P1323" s="171">
        <f t="shared" si="209"/>
        <v>1919.586166774402</v>
      </c>
      <c r="Q1323" s="153">
        <f t="shared" si="210"/>
        <v>627.7046765352294</v>
      </c>
    </row>
    <row r="1324" spans="1:18" ht="12" thickBot="1">
      <c r="A1324" s="915"/>
      <c r="B1324" s="688">
        <v>10</v>
      </c>
      <c r="C1324" s="522" t="s">
        <v>954</v>
      </c>
      <c r="D1324" s="473">
        <v>22</v>
      </c>
      <c r="E1324" s="473">
        <v>1987</v>
      </c>
      <c r="F1324" s="251">
        <f t="shared" si="204"/>
        <v>40.193217000000004</v>
      </c>
      <c r="G1324" s="357">
        <v>1.956722</v>
      </c>
      <c r="H1324" s="357">
        <v>3.806</v>
      </c>
      <c r="I1324" s="357">
        <v>34.430495</v>
      </c>
      <c r="J1324" s="456">
        <v>1205.6</v>
      </c>
      <c r="K1324" s="357">
        <f t="shared" si="205"/>
        <v>40.193217000000004</v>
      </c>
      <c r="L1324" s="456">
        <f t="shared" si="206"/>
        <v>1205.6</v>
      </c>
      <c r="M1324" s="660">
        <f t="shared" si="207"/>
        <v>0.033338766589250175</v>
      </c>
      <c r="N1324" s="473">
        <v>327</v>
      </c>
      <c r="O1324" s="156">
        <f t="shared" si="208"/>
        <v>10.901776674684807</v>
      </c>
      <c r="P1324" s="156">
        <f t="shared" si="209"/>
        <v>2000.3259953550105</v>
      </c>
      <c r="Q1324" s="157">
        <f t="shared" si="210"/>
        <v>654.1066004810884</v>
      </c>
      <c r="R1324" s="689"/>
    </row>
  </sheetData>
  <sheetProtection/>
  <mergeCells count="592">
    <mergeCell ref="A664:A673"/>
    <mergeCell ref="A674:A683"/>
    <mergeCell ref="A684:A693"/>
    <mergeCell ref="L661:L662"/>
    <mergeCell ref="M661:M662"/>
    <mergeCell ref="N661:N662"/>
    <mergeCell ref="O661:O662"/>
    <mergeCell ref="P661:P662"/>
    <mergeCell ref="Q661:Q662"/>
    <mergeCell ref="A659:Q659"/>
    <mergeCell ref="A660:Q660"/>
    <mergeCell ref="A661:A663"/>
    <mergeCell ref="B661:B663"/>
    <mergeCell ref="C661:C663"/>
    <mergeCell ref="D661:D662"/>
    <mergeCell ref="E661:E662"/>
    <mergeCell ref="F661:I661"/>
    <mergeCell ref="J661:J662"/>
    <mergeCell ref="K661:K662"/>
    <mergeCell ref="A1315:A1324"/>
    <mergeCell ref="A820:A827"/>
    <mergeCell ref="L1312:L1313"/>
    <mergeCell ref="M1312:M1313"/>
    <mergeCell ref="N1312:N1313"/>
    <mergeCell ref="O1312:O1313"/>
    <mergeCell ref="J1312:J1313"/>
    <mergeCell ref="K1312:K1313"/>
    <mergeCell ref="A1297:A1306"/>
    <mergeCell ref="O1266:O1267"/>
    <mergeCell ref="P1312:P1313"/>
    <mergeCell ref="Q1312:Q1313"/>
    <mergeCell ref="A1310:Q1310"/>
    <mergeCell ref="A1311:Q1311"/>
    <mergeCell ref="A1312:A1314"/>
    <mergeCell ref="B1312:B1314"/>
    <mergeCell ref="C1312:C1314"/>
    <mergeCell ref="D1312:D1313"/>
    <mergeCell ref="E1312:E1313"/>
    <mergeCell ref="F1312:I1312"/>
    <mergeCell ref="P1266:P1267"/>
    <mergeCell ref="Q1266:Q1267"/>
    <mergeCell ref="A1269:A1276"/>
    <mergeCell ref="A1277:A1286"/>
    <mergeCell ref="A1287:A1296"/>
    <mergeCell ref="F1266:I1266"/>
    <mergeCell ref="J1266:J1267"/>
    <mergeCell ref="K1266:K1267"/>
    <mergeCell ref="M1266:M1267"/>
    <mergeCell ref="N1266:N1267"/>
    <mergeCell ref="A903:A910"/>
    <mergeCell ref="A948:A955"/>
    <mergeCell ref="A964:A970"/>
    <mergeCell ref="A1145:A1153"/>
    <mergeCell ref="A1154:A1162"/>
    <mergeCell ref="A1179:A1188"/>
    <mergeCell ref="A1040:A1048"/>
    <mergeCell ref="A1126:A1135"/>
    <mergeCell ref="A1106:A1115"/>
    <mergeCell ref="A1116:A1125"/>
    <mergeCell ref="A1264:Q1264"/>
    <mergeCell ref="P1054:P1055"/>
    <mergeCell ref="Q1054:Q1055"/>
    <mergeCell ref="A1057:A1066"/>
    <mergeCell ref="A1067:A1076"/>
    <mergeCell ref="A1077:A1086"/>
    <mergeCell ref="C1166:C1168"/>
    <mergeCell ref="D1166:D1167"/>
    <mergeCell ref="A1189:A1198"/>
    <mergeCell ref="E1166:E1167"/>
    <mergeCell ref="F1166:I1166"/>
    <mergeCell ref="J1166:J1167"/>
    <mergeCell ref="M1166:M1167"/>
    <mergeCell ref="K1054:K1055"/>
    <mergeCell ref="L1054:L1055"/>
    <mergeCell ref="M1054:M1055"/>
    <mergeCell ref="M1095:M1096"/>
    <mergeCell ref="A1093:Q1093"/>
    <mergeCell ref="A1094:Q1094"/>
    <mergeCell ref="D1054:D1055"/>
    <mergeCell ref="A1199:A1208"/>
    <mergeCell ref="A1164:Q1164"/>
    <mergeCell ref="A1165:Q1165"/>
    <mergeCell ref="A1166:A1168"/>
    <mergeCell ref="B1166:B1168"/>
    <mergeCell ref="N1166:N1167"/>
    <mergeCell ref="O1166:O1167"/>
    <mergeCell ref="A1169:A1178"/>
    <mergeCell ref="P1166:P1167"/>
    <mergeCell ref="Q1166:Q1167"/>
    <mergeCell ref="E1054:E1055"/>
    <mergeCell ref="C1054:C1056"/>
    <mergeCell ref="J1054:J1055"/>
    <mergeCell ref="A1265:Q1265"/>
    <mergeCell ref="A1266:A1268"/>
    <mergeCell ref="B1266:B1268"/>
    <mergeCell ref="C1266:C1268"/>
    <mergeCell ref="D1266:D1267"/>
    <mergeCell ref="E1266:E1267"/>
    <mergeCell ref="L1266:L1267"/>
    <mergeCell ref="O1217:O1218"/>
    <mergeCell ref="A1217:A1219"/>
    <mergeCell ref="A791:A793"/>
    <mergeCell ref="B791:B793"/>
    <mergeCell ref="C791:C793"/>
    <mergeCell ref="D791:D792"/>
    <mergeCell ref="N1054:N1055"/>
    <mergeCell ref="O1054:O1055"/>
    <mergeCell ref="K1166:K1167"/>
    <mergeCell ref="L1166:L1167"/>
    <mergeCell ref="Q1095:Q1096"/>
    <mergeCell ref="A1054:A1056"/>
    <mergeCell ref="P1217:P1218"/>
    <mergeCell ref="Q1217:Q1218"/>
    <mergeCell ref="A1215:Q1215"/>
    <mergeCell ref="A1216:Q1216"/>
    <mergeCell ref="F1217:I1217"/>
    <mergeCell ref="L1095:L1096"/>
    <mergeCell ref="D1217:D1218"/>
    <mergeCell ref="E1217:E1218"/>
    <mergeCell ref="J1217:J1218"/>
    <mergeCell ref="K1217:K1218"/>
    <mergeCell ref="L1217:L1218"/>
    <mergeCell ref="M1217:M1218"/>
    <mergeCell ref="N1217:N1218"/>
    <mergeCell ref="B1217:B1219"/>
    <mergeCell ref="C1217:C1219"/>
    <mergeCell ref="K832:K833"/>
    <mergeCell ref="N791:N792"/>
    <mergeCell ref="O791:O792"/>
    <mergeCell ref="A1053:Q1053"/>
    <mergeCell ref="Q832:Q833"/>
    <mergeCell ref="P832:P833"/>
    <mergeCell ref="M832:M833"/>
    <mergeCell ref="Q791:Q792"/>
    <mergeCell ref="A1052:Q1052"/>
    <mergeCell ref="A810:A819"/>
    <mergeCell ref="A830:Q830"/>
    <mergeCell ref="A794:A799"/>
    <mergeCell ref="A800:A809"/>
    <mergeCell ref="L791:L792"/>
    <mergeCell ref="O832:O833"/>
    <mergeCell ref="L832:L833"/>
    <mergeCell ref="J832:J833"/>
    <mergeCell ref="D832:D833"/>
    <mergeCell ref="K791:K792"/>
    <mergeCell ref="E832:E833"/>
    <mergeCell ref="A865:A874"/>
    <mergeCell ref="A734:A742"/>
    <mergeCell ref="J703:J704"/>
    <mergeCell ref="K703:K704"/>
    <mergeCell ref="L703:L704"/>
    <mergeCell ref="F832:I832"/>
    <mergeCell ref="A789:Q789"/>
    <mergeCell ref="A790:Q790"/>
    <mergeCell ref="E791:E792"/>
    <mergeCell ref="N832:N833"/>
    <mergeCell ref="A855:A864"/>
    <mergeCell ref="B832:B834"/>
    <mergeCell ref="C832:C834"/>
    <mergeCell ref="A845:A854"/>
    <mergeCell ref="A991:A1000"/>
    <mergeCell ref="A959:Q959"/>
    <mergeCell ref="A960:Q960"/>
    <mergeCell ref="C961:C963"/>
    <mergeCell ref="Q961:Q962"/>
    <mergeCell ref="O961:O962"/>
    <mergeCell ref="C1095:C1097"/>
    <mergeCell ref="B1054:B1056"/>
    <mergeCell ref="A831:Q831"/>
    <mergeCell ref="F791:I791"/>
    <mergeCell ref="J791:J792"/>
    <mergeCell ref="A1007:Q1007"/>
    <mergeCell ref="A883:A892"/>
    <mergeCell ref="A832:A834"/>
    <mergeCell ref="A835:A844"/>
    <mergeCell ref="O1008:O1009"/>
    <mergeCell ref="P703:P704"/>
    <mergeCell ref="P791:P792"/>
    <mergeCell ref="M703:M704"/>
    <mergeCell ref="M791:M792"/>
    <mergeCell ref="Q703:Q704"/>
    <mergeCell ref="A716:A724"/>
    <mergeCell ref="A725:A733"/>
    <mergeCell ref="N703:N704"/>
    <mergeCell ref="M752:M753"/>
    <mergeCell ref="N752:N753"/>
    <mergeCell ref="O703:O704"/>
    <mergeCell ref="A750:Q750"/>
    <mergeCell ref="A751:Q751"/>
    <mergeCell ref="A752:A754"/>
    <mergeCell ref="J1095:J1096"/>
    <mergeCell ref="K1095:K1096"/>
    <mergeCell ref="P1095:P1096"/>
    <mergeCell ref="N1095:N1096"/>
    <mergeCell ref="O1095:O1096"/>
    <mergeCell ref="A703:A705"/>
    <mergeCell ref="B703:B705"/>
    <mergeCell ref="C703:C705"/>
    <mergeCell ref="A706:A715"/>
    <mergeCell ref="F1054:I1054"/>
    <mergeCell ref="A1095:A1097"/>
    <mergeCell ref="B1095:B1097"/>
    <mergeCell ref="F1095:I1095"/>
    <mergeCell ref="D1095:D1096"/>
    <mergeCell ref="E1095:E1096"/>
    <mergeCell ref="D703:D704"/>
    <mergeCell ref="A1006:Q1006"/>
    <mergeCell ref="A1011:A1019"/>
    <mergeCell ref="A1020:A1029"/>
    <mergeCell ref="Q1008:Q1009"/>
    <mergeCell ref="K1008:K1009"/>
    <mergeCell ref="B1008:B1010"/>
    <mergeCell ref="N1008:N1009"/>
    <mergeCell ref="P1008:P1009"/>
    <mergeCell ref="L1008:L1009"/>
    <mergeCell ref="M1008:M1009"/>
    <mergeCell ref="J1008:J1009"/>
    <mergeCell ref="A1008:A1010"/>
    <mergeCell ref="C1008:C1010"/>
    <mergeCell ref="E1008:E1009"/>
    <mergeCell ref="F1008:I1008"/>
    <mergeCell ref="P961:P962"/>
    <mergeCell ref="D961:D962"/>
    <mergeCell ref="E961:E962"/>
    <mergeCell ref="A971:A980"/>
    <mergeCell ref="A981:A990"/>
    <mergeCell ref="F961:I961"/>
    <mergeCell ref="A961:A963"/>
    <mergeCell ref="N961:N962"/>
    <mergeCell ref="B961:B963"/>
    <mergeCell ref="L961:L962"/>
    <mergeCell ref="C5:C7"/>
    <mergeCell ref="A5:A7"/>
    <mergeCell ref="A8:A17"/>
    <mergeCell ref="A18:A27"/>
    <mergeCell ref="N51:N52"/>
    <mergeCell ref="J5:J6"/>
    <mergeCell ref="K5:K6"/>
    <mergeCell ref="A1:Q1"/>
    <mergeCell ref="L5:L6"/>
    <mergeCell ref="M5:M6"/>
    <mergeCell ref="N5:N6"/>
    <mergeCell ref="P5:P6"/>
    <mergeCell ref="A3:Q3"/>
    <mergeCell ref="A4:Q4"/>
    <mergeCell ref="O5:O6"/>
    <mergeCell ref="D5:D6"/>
    <mergeCell ref="F5:I5"/>
    <mergeCell ref="E5:E6"/>
    <mergeCell ref="J51:J52"/>
    <mergeCell ref="K51:K52"/>
    <mergeCell ref="A49:Q49"/>
    <mergeCell ref="A38:A48"/>
    <mergeCell ref="A28:A37"/>
    <mergeCell ref="M51:M52"/>
    <mergeCell ref="L51:L52"/>
    <mergeCell ref="Q5:Q6"/>
    <mergeCell ref="B5:B7"/>
    <mergeCell ref="O97:O98"/>
    <mergeCell ref="P97:P98"/>
    <mergeCell ref="Q97:Q98"/>
    <mergeCell ref="O51:O52"/>
    <mergeCell ref="A50:Q50"/>
    <mergeCell ref="A51:A52"/>
    <mergeCell ref="B51:B52"/>
    <mergeCell ref="C51:C52"/>
    <mergeCell ref="D51:D52"/>
    <mergeCell ref="A84:A93"/>
    <mergeCell ref="Q145:Q146"/>
    <mergeCell ref="L145:L146"/>
    <mergeCell ref="A54:A63"/>
    <mergeCell ref="A64:A73"/>
    <mergeCell ref="A74:A83"/>
    <mergeCell ref="Q51:Q52"/>
    <mergeCell ref="P51:P52"/>
    <mergeCell ref="E51:E52"/>
    <mergeCell ref="F51:I51"/>
    <mergeCell ref="N97:N98"/>
    <mergeCell ref="P192:P193"/>
    <mergeCell ref="Q192:Q193"/>
    <mergeCell ref="A144:Q144"/>
    <mergeCell ref="A145:A147"/>
    <mergeCell ref="B145:B147"/>
    <mergeCell ref="C145:C147"/>
    <mergeCell ref="D145:D146"/>
    <mergeCell ref="E145:E146"/>
    <mergeCell ref="P145:P146"/>
    <mergeCell ref="A148:A157"/>
    <mergeCell ref="A158:A167"/>
    <mergeCell ref="A168:A177"/>
    <mergeCell ref="F145:I145"/>
    <mergeCell ref="J145:J146"/>
    <mergeCell ref="K145:K146"/>
    <mergeCell ref="M145:M146"/>
    <mergeCell ref="N145:N146"/>
    <mergeCell ref="A564:A566"/>
    <mergeCell ref="B564:B566"/>
    <mergeCell ref="C564:C566"/>
    <mergeCell ref="D564:D565"/>
    <mergeCell ref="E564:E565"/>
    <mergeCell ref="A191:Q191"/>
    <mergeCell ref="A562:Q562"/>
    <mergeCell ref="K564:K565"/>
    <mergeCell ref="P564:P565"/>
    <mergeCell ref="A647:A656"/>
    <mergeCell ref="K614:K615"/>
    <mergeCell ref="A613:Q613"/>
    <mergeCell ref="A614:A616"/>
    <mergeCell ref="O614:O615"/>
    <mergeCell ref="N614:N615"/>
    <mergeCell ref="C614:C616"/>
    <mergeCell ref="D614:D615"/>
    <mergeCell ref="E614:E615"/>
    <mergeCell ref="A769:A775"/>
    <mergeCell ref="A776:A782"/>
    <mergeCell ref="K752:K753"/>
    <mergeCell ref="B752:B754"/>
    <mergeCell ref="C752:C754"/>
    <mergeCell ref="D752:D753"/>
    <mergeCell ref="E752:E753"/>
    <mergeCell ref="F752:I752"/>
    <mergeCell ref="F1142:I1142"/>
    <mergeCell ref="J1142:J1143"/>
    <mergeCell ref="K1142:K1143"/>
    <mergeCell ref="A928:A937"/>
    <mergeCell ref="A938:A947"/>
    <mergeCell ref="Q880:Q881"/>
    <mergeCell ref="K880:K881"/>
    <mergeCell ref="L880:L881"/>
    <mergeCell ref="M880:M881"/>
    <mergeCell ref="F880:I880"/>
    <mergeCell ref="M961:M962"/>
    <mergeCell ref="J961:J962"/>
    <mergeCell ref="A143:Q143"/>
    <mergeCell ref="L1142:L1143"/>
    <mergeCell ref="M1142:M1143"/>
    <mergeCell ref="N1142:N1143"/>
    <mergeCell ref="O1142:O1143"/>
    <mergeCell ref="P1142:P1143"/>
    <mergeCell ref="Q1142:Q1143"/>
    <mergeCell ref="A1140:Q1140"/>
    <mergeCell ref="A1141:Q1141"/>
    <mergeCell ref="A1142:A1144"/>
    <mergeCell ref="A563:Q563"/>
    <mergeCell ref="A612:Q612"/>
    <mergeCell ref="B1142:B1144"/>
    <mergeCell ref="C1142:C1144"/>
    <mergeCell ref="D1142:D1143"/>
    <mergeCell ref="E1142:E1143"/>
    <mergeCell ref="Q564:Q565"/>
    <mergeCell ref="A567:A576"/>
    <mergeCell ref="K961:K962"/>
    <mergeCell ref="D1008:D1009"/>
    <mergeCell ref="A577:A586"/>
    <mergeCell ref="A587:A596"/>
    <mergeCell ref="A597:A606"/>
    <mergeCell ref="K917:K918"/>
    <mergeCell ref="A917:A919"/>
    <mergeCell ref="B917:B919"/>
    <mergeCell ref="C917:C919"/>
    <mergeCell ref="A915:Q915"/>
    <mergeCell ref="F564:I564"/>
    <mergeCell ref="L564:L565"/>
    <mergeCell ref="M564:M565"/>
    <mergeCell ref="J564:J565"/>
    <mergeCell ref="N564:N565"/>
    <mergeCell ref="O564:O565"/>
    <mergeCell ref="Q752:Q753"/>
    <mergeCell ref="P752:P753"/>
    <mergeCell ref="B614:B616"/>
    <mergeCell ref="A701:Q701"/>
    <mergeCell ref="P614:P615"/>
    <mergeCell ref="F614:I614"/>
    <mergeCell ref="J614:J615"/>
    <mergeCell ref="Q614:Q615"/>
    <mergeCell ref="A617:A626"/>
    <mergeCell ref="L614:L615"/>
    <mergeCell ref="Q917:Q918"/>
    <mergeCell ref="O752:O753"/>
    <mergeCell ref="E703:E704"/>
    <mergeCell ref="F703:I703"/>
    <mergeCell ref="P880:P881"/>
    <mergeCell ref="A878:Q878"/>
    <mergeCell ref="A879:Q879"/>
    <mergeCell ref="A880:A882"/>
    <mergeCell ref="P917:P918"/>
    <mergeCell ref="L752:L753"/>
    <mergeCell ref="A627:A636"/>
    <mergeCell ref="A637:A646"/>
    <mergeCell ref="J880:J881"/>
    <mergeCell ref="B880:B882"/>
    <mergeCell ref="C880:C882"/>
    <mergeCell ref="D880:D881"/>
    <mergeCell ref="E880:E881"/>
    <mergeCell ref="A755:A761"/>
    <mergeCell ref="A762:A768"/>
    <mergeCell ref="A702:Q702"/>
    <mergeCell ref="A95:Q95"/>
    <mergeCell ref="A96:Q96"/>
    <mergeCell ref="A97:A98"/>
    <mergeCell ref="B97:B98"/>
    <mergeCell ref="C97:C98"/>
    <mergeCell ref="A916:Q916"/>
    <mergeCell ref="A130:A139"/>
    <mergeCell ref="L97:L98"/>
    <mergeCell ref="M97:M98"/>
    <mergeCell ref="E97:E98"/>
    <mergeCell ref="D917:D918"/>
    <mergeCell ref="E917:E918"/>
    <mergeCell ref="F917:I917"/>
    <mergeCell ref="J917:J918"/>
    <mergeCell ref="L917:L918"/>
    <mergeCell ref="A100:A109"/>
    <mergeCell ref="A110:A119"/>
    <mergeCell ref="A120:A129"/>
    <mergeCell ref="J752:J753"/>
    <mergeCell ref="E192:E193"/>
    <mergeCell ref="M917:M918"/>
    <mergeCell ref="N917:N918"/>
    <mergeCell ref="O917:O918"/>
    <mergeCell ref="O880:O881"/>
    <mergeCell ref="M192:M193"/>
    <mergeCell ref="N192:N193"/>
    <mergeCell ref="N289:N290"/>
    <mergeCell ref="O289:O290"/>
    <mergeCell ref="N880:N881"/>
    <mergeCell ref="M614:M615"/>
    <mergeCell ref="K192:K193"/>
    <mergeCell ref="L192:L193"/>
    <mergeCell ref="F97:I97"/>
    <mergeCell ref="J97:J98"/>
    <mergeCell ref="K97:K98"/>
    <mergeCell ref="A190:Q190"/>
    <mergeCell ref="D97:D98"/>
    <mergeCell ref="O192:O193"/>
    <mergeCell ref="A178:A187"/>
    <mergeCell ref="O145:O146"/>
    <mergeCell ref="P241:P242"/>
    <mergeCell ref="Q241:Q242"/>
    <mergeCell ref="M241:M242"/>
    <mergeCell ref="A239:Q239"/>
    <mergeCell ref="A240:Q240"/>
    <mergeCell ref="N241:N242"/>
    <mergeCell ref="L241:L242"/>
    <mergeCell ref="D241:D242"/>
    <mergeCell ref="K241:K242"/>
    <mergeCell ref="E241:E242"/>
    <mergeCell ref="J241:J242"/>
    <mergeCell ref="A195:A204"/>
    <mergeCell ref="A205:A214"/>
    <mergeCell ref="A215:A224"/>
    <mergeCell ref="A192:A194"/>
    <mergeCell ref="B192:B194"/>
    <mergeCell ref="C192:C194"/>
    <mergeCell ref="F192:I192"/>
    <mergeCell ref="J192:J193"/>
    <mergeCell ref="L289:L290"/>
    <mergeCell ref="D192:D193"/>
    <mergeCell ref="E289:E290"/>
    <mergeCell ref="F289:I289"/>
    <mergeCell ref="O241:O242"/>
    <mergeCell ref="A241:A243"/>
    <mergeCell ref="B241:B243"/>
    <mergeCell ref="C241:C243"/>
    <mergeCell ref="A262:A271"/>
    <mergeCell ref="A272:A281"/>
    <mergeCell ref="K289:K290"/>
    <mergeCell ref="F241:I241"/>
    <mergeCell ref="A287:Q287"/>
    <mergeCell ref="A288:Q288"/>
    <mergeCell ref="A289:A291"/>
    <mergeCell ref="B289:B291"/>
    <mergeCell ref="C289:C291"/>
    <mergeCell ref="D289:D290"/>
    <mergeCell ref="P289:P290"/>
    <mergeCell ref="Q289:Q290"/>
    <mergeCell ref="E338:E339"/>
    <mergeCell ref="A292:A301"/>
    <mergeCell ref="A302:A311"/>
    <mergeCell ref="A312:A321"/>
    <mergeCell ref="A322:A331"/>
    <mergeCell ref="J289:J290"/>
    <mergeCell ref="M338:M339"/>
    <mergeCell ref="M289:M290"/>
    <mergeCell ref="A336:Q336"/>
    <mergeCell ref="A337:Q337"/>
    <mergeCell ref="N338:N339"/>
    <mergeCell ref="O338:O339"/>
    <mergeCell ref="A338:A340"/>
    <mergeCell ref="B338:B340"/>
    <mergeCell ref="C338:C340"/>
    <mergeCell ref="D338:D339"/>
    <mergeCell ref="F375:I375"/>
    <mergeCell ref="J375:J376"/>
    <mergeCell ref="F338:I338"/>
    <mergeCell ref="P338:P339"/>
    <mergeCell ref="Q338:Q339"/>
    <mergeCell ref="A341:A349"/>
    <mergeCell ref="A350:A357"/>
    <mergeCell ref="J338:J339"/>
    <mergeCell ref="K338:K339"/>
    <mergeCell ref="L338:L339"/>
    <mergeCell ref="O375:O376"/>
    <mergeCell ref="P375:P376"/>
    <mergeCell ref="A358:A366"/>
    <mergeCell ref="A373:Q373"/>
    <mergeCell ref="A374:Q374"/>
    <mergeCell ref="A375:A377"/>
    <mergeCell ref="B375:B377"/>
    <mergeCell ref="C375:C377"/>
    <mergeCell ref="D375:D376"/>
    <mergeCell ref="E375:E376"/>
    <mergeCell ref="Q375:Q376"/>
    <mergeCell ref="A378:A387"/>
    <mergeCell ref="A388:A397"/>
    <mergeCell ref="A398:A407"/>
    <mergeCell ref="A408:A417"/>
    <mergeCell ref="A419:Q419"/>
    <mergeCell ref="K375:K376"/>
    <mergeCell ref="L375:L376"/>
    <mergeCell ref="M375:M376"/>
    <mergeCell ref="N375:N376"/>
    <mergeCell ref="A420:Q420"/>
    <mergeCell ref="L421:L422"/>
    <mergeCell ref="M421:M422"/>
    <mergeCell ref="N421:N422"/>
    <mergeCell ref="O421:O422"/>
    <mergeCell ref="A421:A423"/>
    <mergeCell ref="B421:B423"/>
    <mergeCell ref="C421:C423"/>
    <mergeCell ref="D421:D422"/>
    <mergeCell ref="E421:E422"/>
    <mergeCell ref="F421:I421"/>
    <mergeCell ref="J468:J469"/>
    <mergeCell ref="K468:K469"/>
    <mergeCell ref="P421:P422"/>
    <mergeCell ref="Q421:Q422"/>
    <mergeCell ref="A424:A433"/>
    <mergeCell ref="A434:A443"/>
    <mergeCell ref="A444:A453"/>
    <mergeCell ref="A454:A463"/>
    <mergeCell ref="J421:J422"/>
    <mergeCell ref="K421:K422"/>
    <mergeCell ref="O516:O517"/>
    <mergeCell ref="Q468:Q469"/>
    <mergeCell ref="A466:Q466"/>
    <mergeCell ref="A467:Q467"/>
    <mergeCell ref="A468:A470"/>
    <mergeCell ref="B468:B470"/>
    <mergeCell ref="C468:C470"/>
    <mergeCell ref="D468:D469"/>
    <mergeCell ref="E468:E469"/>
    <mergeCell ref="F468:I468"/>
    <mergeCell ref="A481:A490"/>
    <mergeCell ref="A491:A500"/>
    <mergeCell ref="A501:A510"/>
    <mergeCell ref="A514:Q514"/>
    <mergeCell ref="A515:Q515"/>
    <mergeCell ref="L468:L469"/>
    <mergeCell ref="M468:M469"/>
    <mergeCell ref="N468:N469"/>
    <mergeCell ref="O468:O469"/>
    <mergeCell ref="P468:P469"/>
    <mergeCell ref="A225:A234"/>
    <mergeCell ref="A252:A261"/>
    <mergeCell ref="P516:P517"/>
    <mergeCell ref="A516:A518"/>
    <mergeCell ref="B516:B518"/>
    <mergeCell ref="C516:C518"/>
    <mergeCell ref="D516:D517"/>
    <mergeCell ref="E516:E517"/>
    <mergeCell ref="F516:I516"/>
    <mergeCell ref="Q516:Q517"/>
    <mergeCell ref="A519:A528"/>
    <mergeCell ref="A529:A538"/>
    <mergeCell ref="A539:A548"/>
    <mergeCell ref="A549:A558"/>
    <mergeCell ref="J516:J517"/>
    <mergeCell ref="K516:K517"/>
    <mergeCell ref="L516:L517"/>
    <mergeCell ref="M516:M517"/>
    <mergeCell ref="N516:N517"/>
    <mergeCell ref="A1220:A1229"/>
    <mergeCell ref="A1230:A1239"/>
    <mergeCell ref="A1240:A1249"/>
    <mergeCell ref="A1250:A1259"/>
    <mergeCell ref="A244:A251"/>
    <mergeCell ref="A893:A902"/>
    <mergeCell ref="A920:A927"/>
    <mergeCell ref="A1030:A1039"/>
    <mergeCell ref="A1098:A1105"/>
    <mergeCell ref="A471:A480"/>
  </mergeCells>
  <printOptions/>
  <pageMargins left="0.27" right="0.15748031496062992" top="0.1968503937007874" bottom="0.1968503937007874" header="0.15748031496062992" footer="0.1574803149606299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LŠTA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Ramunė Kmieliauskaitė</dc:creator>
  <cp:keywords/>
  <dc:description/>
  <cp:lastModifiedBy>MPaulauskas</cp:lastModifiedBy>
  <cp:lastPrinted>2011-05-24T07:22:09Z</cp:lastPrinted>
  <dcterms:created xsi:type="dcterms:W3CDTF">2007-12-03T08:09:16Z</dcterms:created>
  <dcterms:modified xsi:type="dcterms:W3CDTF">2012-02-21T10:59:41Z</dcterms:modified>
  <cp:category/>
  <cp:version/>
  <cp:contentType/>
  <cp:contentStatus/>
</cp:coreProperties>
</file>