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2_kovas" sheetId="1" r:id="rId1"/>
  </sheets>
  <definedNames/>
  <calcPr fullCalcOnLoad="1"/>
</workbook>
</file>

<file path=xl/sharedStrings.xml><?xml version="1.0" encoding="utf-8"?>
<sst xmlns="http://schemas.openxmlformats.org/spreadsheetml/2006/main" count="1366" uniqueCount="1037">
  <si>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</si>
  <si>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</si>
  <si>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</si>
  <si>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</si>
  <si>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</si>
  <si>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</si>
  <si>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</si>
  <si>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</si>
  <si>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</si>
  <si>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</si>
  <si>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</si>
  <si>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</si>
  <si>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</si>
  <si>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</si>
  <si>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</si>
  <si>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</si>
  <si>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</si>
  <si>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</si>
  <si>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</si>
  <si>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</si>
  <si>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Šilumos suvartojimas 60 m² ploto buto šildymui</t>
  </si>
  <si>
    <t>Mokėjimai už šilumą 60 m² ploto buto šildymui 
(su PVM)</t>
  </si>
  <si>
    <t>kWh/mėn</t>
  </si>
  <si>
    <t>Lt/mėn</t>
  </si>
  <si>
    <t>iki 1992</t>
  </si>
  <si>
    <t>Bajorų kelias 3, Vilnius</t>
  </si>
  <si>
    <t>Sviliškių g. 4,6, Vilnius</t>
  </si>
  <si>
    <t>Fizikų g. 6, Vilnius</t>
  </si>
  <si>
    <t>Bitininkų g. 4C, Vilnius</t>
  </si>
  <si>
    <t>Laisvės pr. 85, Vilnius</t>
  </si>
  <si>
    <t>J. Kubiliaus g. 4, Vilnius</t>
  </si>
  <si>
    <t>Pajautos g. 13, Vilnius</t>
  </si>
  <si>
    <t>Sviliškių g. 3,5,7, Vilnius</t>
  </si>
  <si>
    <t>Ūmedžių g. 96, Vilnius</t>
  </si>
  <si>
    <t>Filaretų g. 18, 20, Vilnius</t>
  </si>
  <si>
    <t>Žemynos g. 9, Vilnius</t>
  </si>
  <si>
    <t>Bitėnų g. 10, Vilnius</t>
  </si>
  <si>
    <t>P.Vileišio g. 16, Vilnius</t>
  </si>
  <si>
    <t>Ukmergės g. 228, Vilnius</t>
  </si>
  <si>
    <t>Linksmoji g. 77, Vilnius</t>
  </si>
  <si>
    <t>Taikos g. 126, 124, Vilnius</t>
  </si>
  <si>
    <t>Šeškinės g. 63, Vilnius</t>
  </si>
  <si>
    <t>Sėlių g. 43, Vilnius</t>
  </si>
  <si>
    <t>S.Stanevičiaus g. 8, Vilnius</t>
  </si>
  <si>
    <t>Agrastų g. 8, Vilnius</t>
  </si>
  <si>
    <t>Tramvajų g. 4, Vilnius</t>
  </si>
  <si>
    <t>Arklių g. 16, Vilnius</t>
  </si>
  <si>
    <t>J.Tiškevičiaus g. 6, Vilnius</t>
  </si>
  <si>
    <t>Krėvės 82B, Kaunas</t>
  </si>
  <si>
    <t>Ašmenos II-oji 37, Kaunas</t>
  </si>
  <si>
    <t>Pašilės 59, Kaunas</t>
  </si>
  <si>
    <t>Karaliaus Mindaugo 7, Kaunas</t>
  </si>
  <si>
    <t>Naujakurių 116A, Kaunas</t>
  </si>
  <si>
    <t>Radvilėnų  5, Kaunas</t>
  </si>
  <si>
    <t>Saulės 3, Kaunas</t>
  </si>
  <si>
    <t>Archyvo 48, Kaunas</t>
  </si>
  <si>
    <t>Aušros 20, Kaunas</t>
  </si>
  <si>
    <t>Partizanų 198, Kaunas</t>
  </si>
  <si>
    <t>Taikos 39, Kaunas</t>
  </si>
  <si>
    <t>Šiaurės 101, Kaunas</t>
  </si>
  <si>
    <t>Partizanų 20, Kaunas</t>
  </si>
  <si>
    <t>Lukšio 64, Kaunas</t>
  </si>
  <si>
    <t>Gravrogkų 17, Kaunas</t>
  </si>
  <si>
    <t>Vievio 54, Kaunas</t>
  </si>
  <si>
    <t>Savanorių 204(bt.1-49; 66-92), Kaunas</t>
  </si>
  <si>
    <t>Baltų 2, Kaunas</t>
  </si>
  <si>
    <t>Taikos 41, Kaunas</t>
  </si>
  <si>
    <t>Pašilės 96, Kaunas</t>
  </si>
  <si>
    <t>Baršausko 75, Kaunas</t>
  </si>
  <si>
    <t>Baršausko 77, Kaunas</t>
  </si>
  <si>
    <t>Sąjungos a. 10, Kaunas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</si>
  <si>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</si>
  <si>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</si>
  <si>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</si>
  <si>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Rygos g. 34, 36, 38, Vilnius</t>
  </si>
  <si>
    <t>Lt/m²/mėn.</t>
  </si>
  <si>
    <t>MWh/m²/mėn.</t>
  </si>
  <si>
    <t>Pavilnionių g. 31, Vilnius</t>
  </si>
  <si>
    <t>Žirmūnų g. 3, Vilnius</t>
  </si>
  <si>
    <t>Perkūnkiemio g. 45, Vilnius</t>
  </si>
  <si>
    <t>Jonažolių g. 13 (bt. 1-58), Vilnius</t>
  </si>
  <si>
    <t>P.Smuglevičiaus g. 6, Vilnius</t>
  </si>
  <si>
    <t>Karaliaučiaus g. 16C, Vilnius</t>
  </si>
  <si>
    <t>M.Marcinkevičiaus g. 29, Vilnius</t>
  </si>
  <si>
    <t>Ūmėdžių g. 80, 82, Vilnius</t>
  </si>
  <si>
    <t>A.Domaševičiaus g. 3, Vilnius</t>
  </si>
  <si>
    <t>Sukilėlių 87A (KVT), Kaunas</t>
  </si>
  <si>
    <t>Kovo 11-osios 114 (renov.)(KVT), Kaunas</t>
  </si>
  <si>
    <t>Kovo 11-osios 118 (renov)(KVT), Kaunas</t>
  </si>
  <si>
    <t>Krėvės 61 (renov.) (KVT), Kaunas</t>
  </si>
  <si>
    <t>Griunvaldo 4  (renov.), Kaunas</t>
  </si>
  <si>
    <t>Savanorių 415  (renov.)(KVT), Kaunas</t>
  </si>
  <si>
    <t>Taikos 78 (renov.), Kaunas</t>
  </si>
  <si>
    <t>Medvėgalio 31 (renov.), Kaunas</t>
  </si>
  <si>
    <t>Lukšos-Daumanto 2, Kaunas</t>
  </si>
  <si>
    <t>Šiaurės 1 (KVT), Kaunas</t>
  </si>
  <si>
    <t>Ežero g. 14, Šiauliai</t>
  </si>
  <si>
    <t>Dariaus ir Girėno 6B Alytus</t>
  </si>
  <si>
    <t>PUTINŲ 2 Alytus</t>
  </si>
  <si>
    <t>BIRUTĖS 14 Alytus</t>
  </si>
  <si>
    <t>Statybininkų 46 Alytus</t>
  </si>
  <si>
    <t>LAUKO 17 Alytus</t>
  </si>
  <si>
    <t>ALYVŲ TAKAS 13 Alytus</t>
  </si>
  <si>
    <t>Statybininkų 43 Alytus</t>
  </si>
  <si>
    <t>ŽIBURIO 12 Alytus</t>
  </si>
  <si>
    <t>Rinkuškių 49, Biržai</t>
  </si>
  <si>
    <t>Vilniaus 4, Biržai</t>
  </si>
  <si>
    <t>Vytauto 24, Biržai</t>
  </si>
  <si>
    <t>Vilniaus 39a, Biržai</t>
  </si>
  <si>
    <t>Respublikos 58, Biržai</t>
  </si>
  <si>
    <t>Vilniaus 93a, Biržai</t>
  </si>
  <si>
    <t>Rotušės 24, Biržai</t>
  </si>
  <si>
    <t>Vytauto 8, Biržai</t>
  </si>
  <si>
    <t>A.Civinsko 7, Marijampolė</t>
  </si>
  <si>
    <t>Gėlių 14, Marijampolė</t>
  </si>
  <si>
    <t>Vytauto 13, Marijampolė</t>
  </si>
  <si>
    <t>Bažnyčios 15, Marijampolė</t>
  </si>
  <si>
    <t>A.Civinsko 25, Marijampolė</t>
  </si>
  <si>
    <t>Dariaus ir Girėno 15, Telšiai</t>
  </si>
  <si>
    <t>Dariaus ir Girėno 13, Telšiai</t>
  </si>
  <si>
    <t>Vilniaus 34, Telšiai</t>
  </si>
  <si>
    <t>Vilniaus 26, Telšiai</t>
  </si>
  <si>
    <t>Kęstučio 19, Telšiai</t>
  </si>
  <si>
    <t>Luokės 73, Telšiai</t>
  </si>
  <si>
    <t>Šviesos 29, Telšiai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</si>
  <si>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</si>
  <si>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</si>
  <si>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</si>
  <si>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</si>
  <si>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</si>
  <si>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</si>
  <si>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</si>
  <si>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</si>
  <si>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</si>
  <si>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</si>
  <si>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Birutės 2 Vilkaviškis</t>
  </si>
  <si>
    <t>Aušros 10 Vilkaviškis</t>
  </si>
  <si>
    <t>Darvino 28 Kybartai</t>
  </si>
  <si>
    <t>Vilniaus 4 Vilkaviškis</t>
  </si>
  <si>
    <t>Dariaus ir Girėno 2A Kybartai</t>
  </si>
  <si>
    <t>K.Naumiesčio 9A Kybartai</t>
  </si>
  <si>
    <t>Druskininkų 7a, Palanga</t>
  </si>
  <si>
    <t>Taikos 10, Palanga</t>
  </si>
  <si>
    <t>Sodų 21, Palanga</t>
  </si>
  <si>
    <t>Oškinio 8, Palanga</t>
  </si>
  <si>
    <t>Vytauto 148, Palanga</t>
  </si>
  <si>
    <t>Ganyklų 29, Palanga</t>
  </si>
  <si>
    <t>Ganyklų 59, Palanga</t>
  </si>
  <si>
    <t>Biliūno 3, Palanga</t>
  </si>
  <si>
    <t>Valančiaus 6, Palanga</t>
  </si>
  <si>
    <t>Vytauto 81, Palanga</t>
  </si>
  <si>
    <t>Kretingos 7, Palanga</t>
  </si>
  <si>
    <t>Medžiotojų 10, Palanga</t>
  </si>
  <si>
    <t>Vytauto 120, Palanga</t>
  </si>
  <si>
    <t>-</t>
  </si>
  <si>
    <t>Kudirkos g. 22, Utena</t>
  </si>
  <si>
    <t>iki1992</t>
  </si>
  <si>
    <t>Aukštakalnio g. 10,12, Utena</t>
  </si>
  <si>
    <t>Kauno g. 27, Utena</t>
  </si>
  <si>
    <t>Basanavičiaus g. 108, Utena</t>
  </si>
  <si>
    <t>Vaižganto 96( renov.), Plungė</t>
  </si>
  <si>
    <t>Vaišvilos 31( renov.), Plungė</t>
  </si>
  <si>
    <t>Vaišvilos 23( renov.), Plungė</t>
  </si>
  <si>
    <t>Končiaus 7A(skaitikliai butuose), Plungė</t>
  </si>
  <si>
    <t>Mačernio 53, Plungė</t>
  </si>
  <si>
    <t>Jucio 12, Plungė</t>
  </si>
  <si>
    <t>Mačernio 10, Plungė</t>
  </si>
  <si>
    <t>Mačernio 51, Plungė</t>
  </si>
  <si>
    <t>Mačernio 6, Plungė</t>
  </si>
  <si>
    <t>Telšių 21, Plungė</t>
  </si>
  <si>
    <t>Lentpjūvės 6, Plungė</t>
  </si>
  <si>
    <t>Vytauto 27, Plungė</t>
  </si>
  <si>
    <t>Dariaus Ir Girėno 35, Plungė</t>
  </si>
  <si>
    <t>Dariaus Ir Girėno 33, Plungė</t>
  </si>
  <si>
    <t>Brundzos 8, Prienai</t>
  </si>
  <si>
    <t>Brundzos 7, Prienai</t>
  </si>
  <si>
    <t>Vytauto 25, Prienai</t>
  </si>
  <si>
    <t>Rinktinės g. 36, Vilnius</t>
  </si>
  <si>
    <t>V.Grybo g. 24, Vilnius</t>
  </si>
  <si>
    <t>Partizanų 160 (renov.), Kaunas</t>
  </si>
  <si>
    <t>Baršausko 80, Kaunas</t>
  </si>
  <si>
    <t>Jakšto 8, Kaunas</t>
  </si>
  <si>
    <t>Masiulio 6, Kaunas</t>
  </si>
  <si>
    <t>Juozapavičiaus 48 A, Kaunas</t>
  </si>
  <si>
    <t>Vilniaus g. 202 (renov.), Šiauliai</t>
  </si>
  <si>
    <t>Gegužių g. 73 (renov.), Šiauliai</t>
  </si>
  <si>
    <t>Gegužių g. 19 (renov.), Šiauliai</t>
  </si>
  <si>
    <t>Grinkevičiaus g. 8 (renov.), Šiauliai</t>
  </si>
  <si>
    <t>Klevų g. 13 (renov.), Šiauliai</t>
  </si>
  <si>
    <t>NAUJOJI 26 Alytus</t>
  </si>
  <si>
    <t>VINGIO 1 Alytus</t>
  </si>
  <si>
    <t>Statybininkų 30 Alytus</t>
  </si>
  <si>
    <t>KAŠTONŲ 12 Alytus</t>
  </si>
  <si>
    <t>NAUJOJI 68 Alytus</t>
  </si>
  <si>
    <t>Aukštakalnio 14 Alytus</t>
  </si>
  <si>
    <t>Statybininkų 107 Alytus</t>
  </si>
  <si>
    <t>BAŽNYČIOS 2 Alytus</t>
  </si>
  <si>
    <t>ALYVŲ TAKAS 22 Alytus</t>
  </si>
  <si>
    <t>Vėjo 26b, Biržai</t>
  </si>
  <si>
    <t>V.Kudirkos 1, Marijampolė</t>
  </si>
  <si>
    <t>Kosmonautų 12, Marijampolė</t>
  </si>
  <si>
    <t>Kosmonautų 28, Marijampolė</t>
  </si>
  <si>
    <t>Dariaus ir Girėno 9, Marijampolė</t>
  </si>
  <si>
    <t>Draugystės 13, Marijampolė</t>
  </si>
  <si>
    <t>Kauno 17, Telšiai</t>
  </si>
  <si>
    <t>Respublikos 20, Telšiai</t>
  </si>
  <si>
    <t>Daukanto 14, Telšiai</t>
  </si>
  <si>
    <t>Lauko 48 Vilkaviškis</t>
  </si>
  <si>
    <t>Statybininkų 8 Vilkaviškis</t>
  </si>
  <si>
    <t>Tarybų 7 Kybartai</t>
  </si>
  <si>
    <t>Mokyklos 3 Pilviškiai</t>
  </si>
  <si>
    <t>Vasario 16-ios 10 Pilviškiai</t>
  </si>
  <si>
    <t>GARDINO 56A, Druskininkai</t>
  </si>
  <si>
    <t>ŠILTNAMIŲ 22, Druskininkai</t>
  </si>
  <si>
    <t>VEISIEJŲ 16, Druskininkai</t>
  </si>
  <si>
    <t>ŠILTNAMIŲ 18, Druskininkai</t>
  </si>
  <si>
    <t>LIEPŲ 2A, Druskininkai</t>
  </si>
  <si>
    <t>FONBERGO 6, Druskininkai</t>
  </si>
  <si>
    <t>MELIORATORIŲ 12, Druskininkai</t>
  </si>
  <si>
    <t>ALĖJOS 22, Druskininkai</t>
  </si>
  <si>
    <t>P.Vileišio 6, Mažeikiai</t>
  </si>
  <si>
    <t>V.Burbos 5, Mažeikiai</t>
  </si>
  <si>
    <t>Vaižganto g. 52, Utena</t>
  </si>
  <si>
    <t>Bažnyčios g. 4, Utena</t>
  </si>
  <si>
    <t>Basanavičiaus g. 110a, Utena</t>
  </si>
  <si>
    <t>Kęstučio g. 6, Utena</t>
  </si>
  <si>
    <t>Kęstučio g. 9, Utena</t>
  </si>
  <si>
    <t>Vaišvilos 9 ( renov.), Plungė</t>
  </si>
  <si>
    <t>Vaišvilos 25 ( renov.), Plungė</t>
  </si>
  <si>
    <t>Jucio 22, Plungė</t>
  </si>
  <si>
    <t>J.Basanavičiaus g. 21, Varėna</t>
  </si>
  <si>
    <t>Sporto g. 14, Varėna</t>
  </si>
  <si>
    <t>Karaliaučiaus g. 16a, Vilnius</t>
  </si>
  <si>
    <t>Geležinio Vilko 1A, Kaunas</t>
  </si>
  <si>
    <t>Aido g. 17 (renov.), Šiauliai</t>
  </si>
  <si>
    <t>Putinų g. 10, Šiauliai</t>
  </si>
  <si>
    <t>KALNIŠKĖS 25 Alytus</t>
  </si>
  <si>
    <t>MAIRONIO 1 Alytus</t>
  </si>
  <si>
    <t>Dariaus ir Girėno 11, Marijampolė</t>
  </si>
  <si>
    <t>Žiedo 7, Marijampolė</t>
  </si>
  <si>
    <t>Vienybės 70 Vilkaviškis</t>
  </si>
  <si>
    <t>Basanavičiaus a. 4 Vilkaviškis</t>
  </si>
  <si>
    <t>Vasario 16-ios 12 Pilviškiai</t>
  </si>
  <si>
    <t>Vytauto 77, Palanga</t>
  </si>
  <si>
    <t>KLONIO 18A, Druskininkai</t>
  </si>
  <si>
    <t>Žemaitijos 18, Mažeikiai</t>
  </si>
  <si>
    <t>Aušros g. 99(renov.), Utena</t>
  </si>
  <si>
    <t>Kęstučio g. 4, Utena</t>
  </si>
  <si>
    <t>Jucio 30 ( renov.), Plungė</t>
  </si>
  <si>
    <t>Renov.</t>
  </si>
  <si>
    <t>Dariaus ir Girėno 51, Pakruojis</t>
  </si>
  <si>
    <t>Pergalės 4, Pakruojis</t>
  </si>
  <si>
    <t>L.Giros 1, Pakruojis</t>
  </si>
  <si>
    <t>P.Mašioto 55, Pakruojis</t>
  </si>
  <si>
    <t>Vilniaus 28, Pakruojis</t>
  </si>
  <si>
    <t>Vilniaus 34, Pakruojis</t>
  </si>
  <si>
    <t>Vasario 16-osios 15,Pakruojis</t>
  </si>
  <si>
    <t>Joniškėlio 8, Linkuva</t>
  </si>
  <si>
    <t>Mažoji 1, Pakruojo k.</t>
  </si>
  <si>
    <t>Taikos 26, Pakruojis</t>
  </si>
  <si>
    <t>Kęstučio 8, Pakruojis</t>
  </si>
  <si>
    <t>Vasario 16-osios 13,Pakruojis</t>
  </si>
  <si>
    <t>S.Ušinsko 22, Pakruojis</t>
  </si>
  <si>
    <t>J.Franko g. 4, Vilnius</t>
  </si>
  <si>
    <t>Naugarduko g. 50A, Vilnius</t>
  </si>
  <si>
    <t>Musninkų g. 20, Vilnius</t>
  </si>
  <si>
    <t>Popieriaus g. 82, Vilnius</t>
  </si>
  <si>
    <t>Parko g. 18, Vilnius</t>
  </si>
  <si>
    <t>Draugystės 6, Kaunas</t>
  </si>
  <si>
    <t>Bandužių g. 17, Klaipėda</t>
  </si>
  <si>
    <t>Kviečių g. 56 (renov.), Šiauliai</t>
  </si>
  <si>
    <t>A. Mickevičiaus g. 38, Šiauliai</t>
  </si>
  <si>
    <t>Ežero g. 15, Šiauliai</t>
  </si>
  <si>
    <t>Vilniaus g. 213A, Šiauliai</t>
  </si>
  <si>
    <t>UŽUOLANKOS 24A Alytus</t>
  </si>
  <si>
    <t>Vandens takas 6 Alytus</t>
  </si>
  <si>
    <t>Vilniaus 77b, Biržai</t>
  </si>
  <si>
    <t>Vilniaus 56, Biržai</t>
  </si>
  <si>
    <t>Rinkuškių 47a, Biržai</t>
  </si>
  <si>
    <t>Rinkuškių 51, Biržai</t>
  </si>
  <si>
    <t>Rinkuškių 47, Biržai</t>
  </si>
  <si>
    <t>Vilniaus 92, Biržai</t>
  </si>
  <si>
    <t>Kęstučio 4, Biržai</t>
  </si>
  <si>
    <t>Vilniaus 91a, Biržai</t>
  </si>
  <si>
    <t>Rotušės 7, Biržai</t>
  </si>
  <si>
    <t>Vilniaus 6, Biržai</t>
  </si>
  <si>
    <t>Rotušės 19, Biržai</t>
  </si>
  <si>
    <t>Vytauto 33, Biržai</t>
  </si>
  <si>
    <t>Rinkuškių 22, Biržai</t>
  </si>
  <si>
    <t>Basanavičiaus 18, Biržai</t>
  </si>
  <si>
    <t>Rotušės 5, Biržai</t>
  </si>
  <si>
    <t>Kilučių 11, Biržai</t>
  </si>
  <si>
    <t>Kęstučio 2, Biržai</t>
  </si>
  <si>
    <t>Vytauto 14a, Biržai</t>
  </si>
  <si>
    <t>Rotušės 1, Biržai</t>
  </si>
  <si>
    <t>Vytauto 7, Biržai</t>
  </si>
  <si>
    <t>Rotušės 17, Biržai</t>
  </si>
  <si>
    <t>Vytauto 6, Biržai</t>
  </si>
  <si>
    <t>Lietuvininkų 7, Marijampolė</t>
  </si>
  <si>
    <t>Mokolų 9, Marijampolė</t>
  </si>
  <si>
    <t>R.Juknevičiaus 100, Marijampolė</t>
  </si>
  <si>
    <t>Draugystės 3, Marijampolė</t>
  </si>
  <si>
    <t>P.Butlerienės 7, Marijampolė</t>
  </si>
  <si>
    <t>P.Kriaučiūno 3, Marijampolė</t>
  </si>
  <si>
    <t>Aušros 42A, Marijampolė</t>
  </si>
  <si>
    <t>Kauno 18, Marijampolė</t>
  </si>
  <si>
    <t>P.Butlerienės sk. 5, Marijampolė</t>
  </si>
  <si>
    <t>Dariaus ir Girėno 4B, Kelmė</t>
  </si>
  <si>
    <t>Dariaus ir Girėno 2, Kelmė</t>
  </si>
  <si>
    <t>Masčio 54, Telšiai</t>
  </si>
  <si>
    <t>Lygumų 49, Telšiai</t>
  </si>
  <si>
    <t>Beržų 2, Telšiai</t>
  </si>
  <si>
    <t>Vilniaus 36 , Telšiai</t>
  </si>
  <si>
    <t>Birutės 12, Telšiai</t>
  </si>
  <si>
    <t>Birutės 32, Telšiai</t>
  </si>
  <si>
    <t>Masčio 58, Telšiai</t>
  </si>
  <si>
    <t>Luokės 83, Telšiai</t>
  </si>
  <si>
    <t>Kęstučio 25, Telšiai</t>
  </si>
  <si>
    <t>Stoties 12, Telšiai</t>
  </si>
  <si>
    <t>Stoties 16, Telšiai</t>
  </si>
  <si>
    <t>Sedos 3, Telšiai</t>
  </si>
  <si>
    <t>Sinagogos 4, Telšiai</t>
  </si>
  <si>
    <t>Šviesos 27, Telšiai</t>
  </si>
  <si>
    <t>Šviesos 25, Telšiai</t>
  </si>
  <si>
    <t>Luokės 33, Telšiai</t>
  </si>
  <si>
    <t>Kęstučio 21, Telšiai</t>
  </si>
  <si>
    <t>Dvaro 9 Paežeriai</t>
  </si>
  <si>
    <t>Kęstučio 7 Vilkaviškis</t>
  </si>
  <si>
    <t>Vasario 16-ios 4 Pilviškiai</t>
  </si>
  <si>
    <t>Kretingos 33, Palanga</t>
  </si>
  <si>
    <t>Saulėtekio 8/6, Palanga</t>
  </si>
  <si>
    <t>Sodų 39, Palanga</t>
  </si>
  <si>
    <t>Sodų 1, Palanga</t>
  </si>
  <si>
    <t>Klaipėdos 46, Palanga</t>
  </si>
  <si>
    <t>Druskininkų 16, Palanga</t>
  </si>
  <si>
    <t>Janonio 28, Palanga</t>
  </si>
  <si>
    <t>Taikos 14, Palanga</t>
  </si>
  <si>
    <t>Medvalakio 15, Palanga</t>
  </si>
  <si>
    <t>S.neries 5, Palanga</t>
  </si>
  <si>
    <t>Valančiaus 8, Palanga</t>
  </si>
  <si>
    <t>Sodų 6, Palanga</t>
  </si>
  <si>
    <t>Biliūno 9, Palanga</t>
  </si>
  <si>
    <t>Vytauto 65, Palanga</t>
  </si>
  <si>
    <t>Biliūno 6, Palanga</t>
  </si>
  <si>
    <t>Kretingos 6, Palanga</t>
  </si>
  <si>
    <t>NERAVŲ 39C, Druskininkai</t>
  </si>
  <si>
    <t>DRUSKININKŲ 23, Druskininkai</t>
  </si>
  <si>
    <t>DRUSKININKŲ 9, Druskininkai</t>
  </si>
  <si>
    <t>VEISIEJŲ 22, Druskininkai</t>
  </si>
  <si>
    <t>VEISIEJŲ 12, Druskininkai</t>
  </si>
  <si>
    <t>DRUSKININKŲ 8, Druskininkai</t>
  </si>
  <si>
    <t>VERPĖJŲ 18, Druskininkai</t>
  </si>
  <si>
    <t>MELIORATORIŲ 10, Druskininkai</t>
  </si>
  <si>
    <t>ŠV.JOKŪBO 15, Druskininkai</t>
  </si>
  <si>
    <t>P.Vileišio 4 (renov.), Mažeikiai</t>
  </si>
  <si>
    <t>Laisvės 27 (renov.), Mažeikiai</t>
  </si>
  <si>
    <t>Skuodo 15B, Mažeikiai</t>
  </si>
  <si>
    <t>Pavasario 14, Mažeikiai</t>
  </si>
  <si>
    <t>Laisvės 32, Mažeikiai</t>
  </si>
  <si>
    <t>Basanavičiaus g. 117, Utena</t>
  </si>
  <si>
    <t>Taikos g. 24, Utena</t>
  </si>
  <si>
    <t>Maironio g. 17,Utena</t>
  </si>
  <si>
    <t>Tauragnų g. 4, Utena</t>
  </si>
  <si>
    <t>Jucio 14 (dalinai renovuotas), Plungė</t>
  </si>
  <si>
    <t>Mačernio 47, Plungė</t>
  </si>
  <si>
    <t>Jucio 10, Plungė</t>
  </si>
  <si>
    <t>Vaižganto 85, Plungė</t>
  </si>
  <si>
    <t>Mačernio 8, Plungė</t>
  </si>
  <si>
    <t>Gandingos 10, Plungė</t>
  </si>
  <si>
    <t>A.Jucio 28, Plungė</t>
  </si>
  <si>
    <t>Gandingos 12, Plungė</t>
  </si>
  <si>
    <t>Dariaus ir Girėno 51, Plungė</t>
  </si>
  <si>
    <t>Senamiesčio 2, Plungė</t>
  </si>
  <si>
    <t>S. Neries 4, Plungė</t>
  </si>
  <si>
    <t>Vaižganto 30c, Radviliškis</t>
  </si>
  <si>
    <t>Kražių 12, Radviliškis</t>
  </si>
  <si>
    <t>iki1960</t>
  </si>
  <si>
    <t>Vytauto Didžiojo 31, Raseiniai</t>
  </si>
  <si>
    <t>Ateities 19, Raseiniai</t>
  </si>
  <si>
    <t>Vytauto Didžiojo 41, Raseiniai</t>
  </si>
  <si>
    <t>Algirdo 25, Raseiniai</t>
  </si>
  <si>
    <t>Algirdo 27, Raseiniai</t>
  </si>
  <si>
    <t>Rytų 4, Raseiniai</t>
  </si>
  <si>
    <t>Rytų 2, Raseiniai</t>
  </si>
  <si>
    <t>Algirdo 29, Raseiniai</t>
  </si>
  <si>
    <t>Dariaus ir Girėno 28, Raseiniai</t>
  </si>
  <si>
    <t>Stonų 3, Raseiniai</t>
  </si>
  <si>
    <t>Vaižganto 5A, Raseiniai</t>
  </si>
  <si>
    <t>Dubysos 3, Raseiniai</t>
  </si>
  <si>
    <t>Dubysos 16, Raseiniai</t>
  </si>
  <si>
    <t>Dubysos 1, Raseiniai</t>
  </si>
  <si>
    <t>Dariaus ir Girėno 23, Raseiniai</t>
  </si>
  <si>
    <t>Vaižganto 1, Raseiniai</t>
  </si>
  <si>
    <t>Muziejaus 6, Raseiniai</t>
  </si>
  <si>
    <t>Vytauto Didžiojo 3, Raseiniai</t>
  </si>
  <si>
    <t>Jaunimo 12, Raseiniai</t>
  </si>
  <si>
    <t>V.Kudirkos 11, Raseiniai</t>
  </si>
  <si>
    <t>Dominikonų 4, Raseiniai</t>
  </si>
  <si>
    <t>Dariaus ir Girėno 26, Raseiniai</t>
  </si>
  <si>
    <t>V.Kudirkos 9, Raseiniai</t>
  </si>
  <si>
    <t>Naujųjų Valkininkų 2, Varėna</t>
  </si>
  <si>
    <t>V.Krėvės g. 4, Varėna</t>
  </si>
  <si>
    <t>Birutės 4, Prienai</t>
  </si>
  <si>
    <t>Vytauto 22, Prienai</t>
  </si>
  <si>
    <t>Jaunimo 13, Balbieriškis</t>
  </si>
  <si>
    <t>l.Giros 8, Pakruojis</t>
  </si>
  <si>
    <t>Respublikos 8 Naujoji Akmenė</t>
  </si>
  <si>
    <t>Ventos 16 Venta</t>
  </si>
  <si>
    <t>Žalgirio 7 Naujoji Akmenė</t>
  </si>
  <si>
    <t>Šarkinės 27, Elektrėnai</t>
  </si>
  <si>
    <t>Sodų 4, Elektrėnai</t>
  </si>
  <si>
    <t>Sodų 6, Elektrėnai</t>
  </si>
  <si>
    <t>Sodų 10, Elektrėnai</t>
  </si>
  <si>
    <t>Saulės 11, Elektrėnai</t>
  </si>
  <si>
    <t>Saulės 26, Elektrėnai</t>
  </si>
  <si>
    <t>Trakų 19, Elektrėnai</t>
  </si>
  <si>
    <t>Kauno g. 19, Klaipėda</t>
  </si>
  <si>
    <t>Liepų g. 53, Klaipėda</t>
  </si>
  <si>
    <t>Bangų g. 17, Klaipėda</t>
  </si>
  <si>
    <t>Dainų g. 4 (renov.), Šiauliai</t>
  </si>
  <si>
    <t>Žeimių g. 6B, Šiauliai</t>
  </si>
  <si>
    <t>Draugystės pr. 13, Šiauliai</t>
  </si>
  <si>
    <t>Dvaro g. 52, Šiauliai</t>
  </si>
  <si>
    <t>P. Višinskio g. 37, Šiauliai</t>
  </si>
  <si>
    <t>Draugystės 20, Marijampolė</t>
  </si>
  <si>
    <t>Mokolų 51, Marijampolė</t>
  </si>
  <si>
    <t>Vytauto 12, Marijampolė</t>
  </si>
  <si>
    <t>P.Butlerienės 11, Marijampolė</t>
  </si>
  <si>
    <t>P.Butlerienės 20, Marijampolė</t>
  </si>
  <si>
    <t>Mackevičiaus 29, Kelmė</t>
  </si>
  <si>
    <t>Dariaus ir Girėno 4, Kelmė</t>
  </si>
  <si>
    <t>Raseinių 5A, Kelmė</t>
  </si>
  <si>
    <t>Vilties 18, Kelmė</t>
  </si>
  <si>
    <t>Maironio 4A, Kelmė</t>
  </si>
  <si>
    <t>Vytauto Didžiojo 61, Kelmė</t>
  </si>
  <si>
    <t>Vytauto Didžiojo 45, Kelmė</t>
  </si>
  <si>
    <t>Vilties 14, Kelmė</t>
  </si>
  <si>
    <t>Žemaitės 51, Kelmė</t>
  </si>
  <si>
    <t>Vilniaus 14, Telšiai</t>
  </si>
  <si>
    <t>Stoties 33, Telšiai</t>
  </si>
  <si>
    <t>Šviesos 31, Telšiai</t>
  </si>
  <si>
    <t>Birutės 24, Telšiai</t>
  </si>
  <si>
    <t>Statybininkų 6 Vilkaviškis</t>
  </si>
  <si>
    <t>Nepriklausomybės 66 Vilkaviškis</t>
  </si>
  <si>
    <t>Kęstučio 2 Vilkaviškis</t>
  </si>
  <si>
    <t>K.Naumiesčio 11 Kybartai</t>
  </si>
  <si>
    <t>Vištyčio 7 Virbalis</t>
  </si>
  <si>
    <t>KOSCIUŠKOS 12, Druskininkai</t>
  </si>
  <si>
    <t>JAUNYSTĖS 2, Druskininkai</t>
  </si>
  <si>
    <t>ANTAKALNIO 16, Druskininkai</t>
  </si>
  <si>
    <t>LIEPŲ 10, Druskininkai</t>
  </si>
  <si>
    <t>ANTAKALNIO 14, Druskininkai</t>
  </si>
  <si>
    <t>MIZARŲ 1, Druskininkai</t>
  </si>
  <si>
    <t>Naftininkų 14, Mažeikiai</t>
  </si>
  <si>
    <t>Pavenčių 19, Mažeikiai</t>
  </si>
  <si>
    <t>Sodų 11, Mažeikiai</t>
  </si>
  <si>
    <t>Vasario 16-sios 8, Mažeikiai</t>
  </si>
  <si>
    <t>S.Daukanto 8 (Viekšniai), Mažeikiai</t>
  </si>
  <si>
    <t>Mažeikių 3 (Viekšniai), Mažeikiai</t>
  </si>
  <si>
    <t>Aušros g. 83, Utena</t>
  </si>
  <si>
    <t>Aukštakalnio g. 116, Utena</t>
  </si>
  <si>
    <t>Vaižganto g. 56, Utena</t>
  </si>
  <si>
    <t>Taikos g .14, Utena</t>
  </si>
  <si>
    <t>Vaižganto g. 46, Utena</t>
  </si>
  <si>
    <t>Utenio a. 5, Utena</t>
  </si>
  <si>
    <t>Donelaičio g. 12, Utena</t>
  </si>
  <si>
    <t>Utenio a. 10, Utena</t>
  </si>
  <si>
    <t>Taikos 4, Elektrėnai</t>
  </si>
  <si>
    <t>Šviesos 10, Elektrėnai</t>
  </si>
  <si>
    <t>Trakų 16, Elektrėnai</t>
  </si>
  <si>
    <t>Saulės 10, Elektrėnai</t>
  </si>
  <si>
    <t>Trakų 23, Elektrėnai</t>
  </si>
  <si>
    <t>Saulės 17, Elektrėnai</t>
  </si>
  <si>
    <t>Končiaus 7(skaitikliai butuose), Plungė</t>
  </si>
  <si>
    <t>Mačernio 12(dal.renovuot.), Plungė</t>
  </si>
  <si>
    <t>Jaunystės 35 (renov), Radviliškis</t>
  </si>
  <si>
    <t>Laisvės al. 36 (renov), Radviliškis</t>
  </si>
  <si>
    <t>Vaižganto 60 (renov), Radviliškis</t>
  </si>
  <si>
    <t>Bernotėno 1, Radviliškis</t>
  </si>
  <si>
    <t>Marcinkonių g. 2, Varėna</t>
  </si>
  <si>
    <t>Dzūkų g. 38, Varėna</t>
  </si>
  <si>
    <t>Vytauto g. 7, Varėna</t>
  </si>
  <si>
    <r>
      <t xml:space="preserve">Dariaus ir Girėno g. 32A </t>
    </r>
    <r>
      <rPr>
        <i/>
        <sz val="8"/>
        <color indexed="10"/>
        <rFont val="Arial"/>
        <family val="2"/>
      </rPr>
      <t xml:space="preserve">(renov.), </t>
    </r>
    <r>
      <rPr>
        <i/>
        <sz val="8"/>
        <rFont val="Arial"/>
        <family val="2"/>
      </rPr>
      <t>Tauragė</t>
    </r>
  </si>
  <si>
    <t>Gedimino g. 32, Tauragė</t>
  </si>
  <si>
    <t>Gedimino g. 8, Tauragė</t>
  </si>
  <si>
    <t>Dariaus ir Girėno g. 34, Tauragė</t>
  </si>
  <si>
    <t>Vaižganto g. 118, Tauragė</t>
  </si>
  <si>
    <t>Miško g. 8, Tauragė</t>
  </si>
  <si>
    <t>Vytauto g. 4B, Tauragė</t>
  </si>
  <si>
    <t>Gedimino g. 23, Tauragė</t>
  </si>
  <si>
    <t>Dariaus ir Girėno g. 26A, Tauragė</t>
  </si>
  <si>
    <t>Žemaitės g. 32, Tauragė</t>
  </si>
  <si>
    <t>Birutės g. 36, Tauragė</t>
  </si>
  <si>
    <t>Ateities takas 18, Tauragė</t>
  </si>
  <si>
    <t>Dariaus ir Girėno g. 16A, Tauragė</t>
  </si>
  <si>
    <t>Žemaitės g. 3, Tauragė</t>
  </si>
  <si>
    <t>Respublikos g. 4, Tauragė</t>
  </si>
  <si>
    <t>Dariaus ir Girėno g. 24, Tauragė</t>
  </si>
  <si>
    <t>Prezidento g. 67, Tauragė</t>
  </si>
  <si>
    <t>Dariaus ir Grėno g. 38, Tauragė</t>
  </si>
  <si>
    <t>Vasario 16-osios g. 8, Tauragė</t>
  </si>
  <si>
    <t>Vytauto g. 62, Tauragė</t>
  </si>
  <si>
    <t>V. Kudirkos g. 5, Tauragė</t>
  </si>
  <si>
    <t>Dariaus ir Girėno g. 18, Tauragė</t>
  </si>
  <si>
    <t>Vasario 16-osios g. 10, Tauragė</t>
  </si>
  <si>
    <t>Vasario 16-osios g. 5, Tauragė</t>
  </si>
  <si>
    <t>Vasario 16-osios g. 3, Tauragė</t>
  </si>
  <si>
    <t>Vytauto g. 88, Tauragė</t>
  </si>
  <si>
    <t>Dariaus ir Girėno g. 20, Tauragė</t>
  </si>
  <si>
    <t>Prezidento g. 60, Tauragė</t>
  </si>
  <si>
    <t>Vytauto g. 78, Tauragė</t>
  </si>
  <si>
    <t>Dariaus ir Grėno g. 4, Tauragė</t>
  </si>
  <si>
    <t>Bažnyčių g. 2, Tauragė</t>
  </si>
  <si>
    <t>Janonio 3, Prienai</t>
  </si>
  <si>
    <t>Statybininkų 11, Prienai</t>
  </si>
  <si>
    <t>Stadiono 20  3L.,Prienai</t>
  </si>
  <si>
    <t>Vytauto 4A, Prienai</t>
  </si>
  <si>
    <t>Kęstučio 77, Prienai</t>
  </si>
  <si>
    <t>Brundzos 10, Prienai</t>
  </si>
  <si>
    <t>P.Mašioto 59, Pakruojis</t>
  </si>
  <si>
    <t>V.Didžiojo 72, Pakruojis</t>
  </si>
  <si>
    <t>Ušinsko 31a, Pakruojis</t>
  </si>
  <si>
    <t>Basanavičiaus 2a, Pakruojis</t>
  </si>
  <si>
    <t>Joniškėlio 2, Linkuva</t>
  </si>
  <si>
    <t>Taikos 24a, Pakruojis</t>
  </si>
  <si>
    <t>Taikos 24, Pakruojis</t>
  </si>
  <si>
    <t>Jaunimo al. 3, Šilutė</t>
  </si>
  <si>
    <t>Sodų 19, Šilutė</t>
  </si>
  <si>
    <t>Gluosnių 7, Šilutė</t>
  </si>
  <si>
    <t>Jaunimo al. 10, Šilutė</t>
  </si>
  <si>
    <t>Jaunimo al. 7, Šilutė</t>
  </si>
  <si>
    <t>Kęstučio 12a, Šilutė</t>
  </si>
  <si>
    <t>Kudirkos 8, Šilutė</t>
  </si>
  <si>
    <t>Cintjoniškių 7, Šilutė</t>
  </si>
  <si>
    <t>Sodų 2, Šilutė</t>
  </si>
  <si>
    <t>Jaunimo al. 8, Šilutė</t>
  </si>
  <si>
    <t>Sodų 17, Šilutė</t>
  </si>
  <si>
    <t>Laisvės al. 3, Šilutė</t>
  </si>
  <si>
    <t>Tilžės 40, Šilutė</t>
  </si>
  <si>
    <t>Laisvės al. 6, Šilutė</t>
  </si>
  <si>
    <t>Lietuvininkų 74, Šilutė</t>
  </si>
  <si>
    <t>Pramonės 9, Šilutė</t>
  </si>
  <si>
    <t>Taikos 19a, Šilutė</t>
  </si>
  <si>
    <t>Liepų 8, Šilutė</t>
  </si>
  <si>
    <t>Kudirkos 13, Šilutė</t>
  </si>
  <si>
    <t>Lietuvininkų 16a, Šilutė</t>
  </si>
  <si>
    <t>Kalinausko 11, Šilutė</t>
  </si>
  <si>
    <t>Kudirkos 7, Šilutė</t>
  </si>
  <si>
    <t>Turgaus 6a, Šilutė</t>
  </si>
  <si>
    <t>Tilžės 42, Šilutė</t>
  </si>
  <si>
    <t>Turgaus 2, Šilutė</t>
  </si>
  <si>
    <t>Tilžės 38, Šilutė</t>
  </si>
  <si>
    <t>Taikos 10, Šilutė</t>
  </si>
  <si>
    <t>Lietuvininku 40, Šilutė</t>
  </si>
  <si>
    <t>Lietuvininkų 2a, Šilutė</t>
  </si>
  <si>
    <t>Taikos 24, Šilutė</t>
  </si>
  <si>
    <t>Laižuvos 10 Akmenė</t>
  </si>
  <si>
    <t>V.Kudirkos 2 Naujoji Akmenė</t>
  </si>
  <si>
    <t>Ventos 14 Venta</t>
  </si>
  <si>
    <t>Bausko 3 Venta</t>
  </si>
  <si>
    <t>IV. Daugiaubučiai suvartojantys labai daug šilumos (senos statybos, labai prastos šiluminės izoliacijos namai)</t>
  </si>
  <si>
    <t>Šilumos suvartojimo ir mokėjimų už šilumą analizė Lietuvos miestų daugiabučiuose gyvenamuosiuose namuose (2012 m. kovo mėn.)</t>
  </si>
  <si>
    <t>Baltijos pr. 97, Klaipėda</t>
  </si>
  <si>
    <t>Kretingos g. 55, Klaipėda</t>
  </si>
  <si>
    <t>Debreceno g. 84, Klaipėda</t>
  </si>
  <si>
    <t>Jaunystės g. 4, Klaipėda</t>
  </si>
  <si>
    <t>Reikjaviko g. 9, Klaipėda</t>
  </si>
  <si>
    <t>Laukininkų g. 43, Klaipėda</t>
  </si>
  <si>
    <t>Ryšininkų g. 2, Klaipėda</t>
  </si>
  <si>
    <t>Kuncų g. 11/1, Klaipėda</t>
  </si>
  <si>
    <t>Taikos pr. 41, Klaipėda</t>
  </si>
  <si>
    <t>Statybininkų pr. 8, Klaipėda</t>
  </si>
  <si>
    <t>Budelkiemio g. 18, Klaipėda</t>
  </si>
  <si>
    <t>Taikos pr. 73, Klaipėda</t>
  </si>
  <si>
    <t>Žardininkų g. 16, Klaipėda</t>
  </si>
  <si>
    <t>Rambyno g. 6, Klaipėda</t>
  </si>
  <si>
    <t>Pietinė g. 6, Klaipėda</t>
  </si>
  <si>
    <t>Smiltelės g. 20, Klaipėda</t>
  </si>
  <si>
    <t>Minijos g. 120, Klaipėda</t>
  </si>
  <si>
    <t>Medžiotojų g. 12, Klaipėda</t>
  </si>
  <si>
    <t>Debreceno g. 40, Klaipėda</t>
  </si>
  <si>
    <t>Sportininkų g. 19, Klaipėda</t>
  </si>
  <si>
    <t>Rumpiškės g. 24, Klaipėda</t>
  </si>
  <si>
    <t>S.Daukanto g. 43, Klaipėda</t>
  </si>
  <si>
    <t>Minijos g. 129, Klaipėda</t>
  </si>
  <si>
    <t>Kretingos g. 45, Klaipėda</t>
  </si>
  <si>
    <t>Rumpiškės g. 28, Klaipėda</t>
  </si>
  <si>
    <t>Bokštų g. 1, Klaipėda</t>
  </si>
  <si>
    <t>Spotininkų g. 28, Klaipėda</t>
  </si>
  <si>
    <t>Pušyno g. 29, Klaipėda</t>
  </si>
  <si>
    <t>Minijos g. 131, Klaipėda</t>
  </si>
  <si>
    <t>H.Manto g. 11a, Klaipėda</t>
  </si>
  <si>
    <t>H.Manto g. 43, Klaipėda</t>
  </si>
  <si>
    <t>Sportininkų g. 14, Klaipėda</t>
  </si>
  <si>
    <t>Sulupės g. 13, Klaipėda</t>
  </si>
  <si>
    <t>J.Zauerveino g. 25, Klaipėda</t>
  </si>
  <si>
    <t>Klevų g. 1, Klaipėda</t>
  </si>
  <si>
    <t>Turgaus a.2, Klaipėda</t>
  </si>
  <si>
    <t>Žeimių g.  6A , Šiauliai</t>
  </si>
  <si>
    <t>Dainų g. 10A , Šiauliai</t>
  </si>
  <si>
    <t>M. Valančiaus g. 2 (renov.), Šiauliai</t>
  </si>
  <si>
    <t>Gegužių g. 17, Šiauliai</t>
  </si>
  <si>
    <t>Statybininkų g. 5, Šiauliai</t>
  </si>
  <si>
    <t>Krymo g. 6 , Šiauliai</t>
  </si>
  <si>
    <t>Gegužių g. 13, Šiauliai</t>
  </si>
  <si>
    <t>Lieporių g. 21, Šiauliai</t>
  </si>
  <si>
    <t>Gegužių g. 9 (renov.), Šiauliai</t>
  </si>
  <si>
    <t>Gegužių g. 25, Šiauliai</t>
  </si>
  <si>
    <t>Aido g. 15, Šiauliai</t>
  </si>
  <si>
    <t>Gytarių g. 39, Šiauliai</t>
  </si>
  <si>
    <t>Tilžės g. 51, Šiauliai</t>
  </si>
  <si>
    <t>Gytarių g. 37, Šiauliai</t>
  </si>
  <si>
    <t>Architektų g. 18, Šiauliai</t>
  </si>
  <si>
    <t>Varpo g. 53, Šiauliai</t>
  </si>
  <si>
    <t>Dainų g. 37, Šiauliai</t>
  </si>
  <si>
    <t>Draugystės pr. 5, Šiauliai</t>
  </si>
  <si>
    <t>Dainavos takas 17, Šiauliai</t>
  </si>
  <si>
    <t>Draugystės pr. 15, Šiauliai</t>
  </si>
  <si>
    <t>Vytauto g. 88, Šiauliai</t>
  </si>
  <si>
    <t>Draugystės pr. 3A, Šiauliai</t>
  </si>
  <si>
    <t>Tilžės g. 128, Šiauliai</t>
  </si>
  <si>
    <t>ŠALTINIŲ 4 Alytus</t>
  </si>
  <si>
    <t>VILTIES 20 Alytus</t>
  </si>
  <si>
    <t>VINGIO 7 Alytus</t>
  </si>
  <si>
    <t>ŽUVINTO 13 Alytus</t>
  </si>
  <si>
    <t>PUTINŲ 24A Alytus</t>
  </si>
  <si>
    <t>Statybininkų 34 Alytus</t>
  </si>
  <si>
    <t>VOLUNGĖS 29 Alytus</t>
  </si>
  <si>
    <t>JAUNIMO 56 Alytus</t>
  </si>
  <si>
    <t>Dariaus ir Girėno 6 Alytus</t>
  </si>
  <si>
    <t>SAVANORIŲ 3 Alytus</t>
  </si>
  <si>
    <t>VILNIAUS 12 Alytus</t>
  </si>
  <si>
    <t>PILIAKALNIO 10 Alytus</t>
  </si>
  <si>
    <t>VOLUNGĖS 22 Alytus</t>
  </si>
  <si>
    <t>ŽALGIRIO 31 Alytus</t>
  </si>
  <si>
    <t>VOLUNGĖS 17 Alytus</t>
  </si>
  <si>
    <t>Vytauto 54B, Marijampolė</t>
  </si>
  <si>
    <t>Vilkaviškio 61, Marijampolė</t>
  </si>
  <si>
    <t>Vilkaviškio 72, Marijampolė</t>
  </si>
  <si>
    <t>J.Ambrazevičiaus-Brazaičio 5, Marijampolė</t>
  </si>
  <si>
    <t>Vytenio 8, Marijampolė</t>
  </si>
  <si>
    <t>R.Juknevičiaus 16, Marijampolė</t>
  </si>
  <si>
    <t>Lietuvininkų 4, Marijampolė</t>
  </si>
  <si>
    <t>Dvarkelio 11, Marijampolė</t>
  </si>
  <si>
    <t>Vasario  16-osios 6, Marijampolė</t>
  </si>
  <si>
    <t>P.Armino 31, Marijampolė</t>
  </si>
  <si>
    <t>Dvarkelio 7, Marijampolė</t>
  </si>
  <si>
    <t>Vasario  16-osios 4, Marijampolė</t>
  </si>
  <si>
    <t>Dvarkelio 14, Marijampolė</t>
  </si>
  <si>
    <t>Vytauto 27A, Marijampolė</t>
  </si>
  <si>
    <t>Birutës   2, Kelmė</t>
  </si>
  <si>
    <t>Birutės   4, Kelmė</t>
  </si>
  <si>
    <t>Birutės   7, Kelmė</t>
  </si>
  <si>
    <t>Birutės   3, Kelmė</t>
  </si>
  <si>
    <t>Dariaus ir Girėno  2A, Kelmė</t>
  </si>
  <si>
    <t>Raseinių 11, Kelmė</t>
  </si>
  <si>
    <t>Raseinių 7, Kelmė</t>
  </si>
  <si>
    <t>Raseinių 3, Kelmė</t>
  </si>
  <si>
    <t>Mackevičiaus 2, Kelmė</t>
  </si>
  <si>
    <t>žemaitės 45, Kelmė</t>
  </si>
  <si>
    <t>Dariaus ir Girėno 12, Telšiai</t>
  </si>
  <si>
    <t>Masčio 44, Telšiai</t>
  </si>
  <si>
    <t>Vilniaus 8, Telšiai</t>
  </si>
  <si>
    <t>Sedos 23, Telšiai</t>
  </si>
  <si>
    <t>Žemaitės 26, Telšiai</t>
  </si>
  <si>
    <t>Stoties 10, Telšiai</t>
  </si>
  <si>
    <t>Daukanto 43, Telšiai</t>
  </si>
  <si>
    <t>Liepų 7, Rainiai</t>
  </si>
  <si>
    <t>Sinagogos  2, Telšiai</t>
  </si>
  <si>
    <t>Gedimino 14 Vilkaviškis</t>
  </si>
  <si>
    <t>Nepriklausomybės 52 Vilkaviškis</t>
  </si>
  <si>
    <t>Statybininkų 7 Vilkaviškis</t>
  </si>
  <si>
    <t>Dvaro 21 Paežeriai</t>
  </si>
  <si>
    <t>Maironio 32 Vilkaviškis</t>
  </si>
  <si>
    <t>Pasienio 3 Kybartai</t>
  </si>
  <si>
    <t>Statybininkų 9 Vilkaviškis</t>
  </si>
  <si>
    <t>S.Nėries 44 Vilkaviškis</t>
  </si>
  <si>
    <t>ČIURLIONIO 88, Druskininkai</t>
  </si>
  <si>
    <t>VYTAUTO 11, Druskininkai</t>
  </si>
  <si>
    <t>ČIURLIONIO 68, Druskininkai</t>
  </si>
  <si>
    <t>VEISIEJŲ 24, Druskininkai</t>
  </si>
  <si>
    <t>VEISIEJŲ 15, Druskininkai</t>
  </si>
  <si>
    <t>TAIKOS 5, Druskininkai</t>
  </si>
  <si>
    <t>ATEITIES 2, Druskininkai</t>
  </si>
  <si>
    <t>SEIRIJŲ 9, Druskininkai</t>
  </si>
  <si>
    <t>ŠILTNAMIŲ 26, Druskininkai</t>
  </si>
  <si>
    <t>KUDIRKOS 31, Druskininkai</t>
  </si>
  <si>
    <t>M.K.ČIURLIONIO 4A, Druskininkai</t>
  </si>
  <si>
    <t>VERPĖJŲ 4, Druskininkai</t>
  </si>
  <si>
    <t>M.K.ČIURLIONIO 85, Druskininkai</t>
  </si>
  <si>
    <t>M.K.ČIURLIONIO 93, Druskininkai</t>
  </si>
  <si>
    <t>M.K.ČIURLIONIO 4, Druskininkai</t>
  </si>
  <si>
    <t>Sodų 10-jo NSB (renov.), Mažeikiai</t>
  </si>
  <si>
    <t>Mindaugo 13 (renov.), Mažeikiai</t>
  </si>
  <si>
    <t>Laisvės 23 (renov.), Mažeikiai</t>
  </si>
  <si>
    <t>Laisvės 40-jo NSB (renov.), Mažeikiai</t>
  </si>
  <si>
    <t>Gamyklos 3 (renovuojamas), Mažeikiai</t>
  </si>
  <si>
    <t>Draugystės 6, Mažeikiai</t>
  </si>
  <si>
    <t>Draugystės 4, Mažeikiai</t>
  </si>
  <si>
    <t>Gamyklos 15-jo NSB (renov.), Mažeikiai</t>
  </si>
  <si>
    <t>Žemaitijos 37, Mažeikiai</t>
  </si>
  <si>
    <t>Sodų 24, Mažeikiai</t>
  </si>
  <si>
    <t>Ventos 75, Mažeikiai</t>
  </si>
  <si>
    <t>Ventos 9, Mažeikiai</t>
  </si>
  <si>
    <t>Taikos 11, Mažeikiai</t>
  </si>
  <si>
    <t>Pavasario 17, Mažeikiai</t>
  </si>
  <si>
    <t>Ventos 65, Mažeikiai</t>
  </si>
  <si>
    <t>Taikos 5, Mažeikiai</t>
  </si>
  <si>
    <t>Pavasario 9, Mažeikiai</t>
  </si>
  <si>
    <t>Ventos 7, Mažeikiai</t>
  </si>
  <si>
    <t>Tylioji 24, Mažeikiai</t>
  </si>
  <si>
    <t>Tylioji 38, Mažeikiai</t>
  </si>
  <si>
    <t>Laisvės 222, Mažeikiai</t>
  </si>
  <si>
    <t>Bažnyčios 11 (Viekšniai), Mažeikiai</t>
  </si>
  <si>
    <t>Laisvės 36, Mažeikiai</t>
  </si>
  <si>
    <t>V.Burbos 2, Mažeikiai</t>
  </si>
  <si>
    <t>Ventos 39, Mažeikiai</t>
  </si>
  <si>
    <t>M.Daukšos 44B, Mažeikiai</t>
  </si>
  <si>
    <t>Aukštakalnio g. 108, Utena</t>
  </si>
  <si>
    <t>Aušros g. 89 I k.(renov.)Utena</t>
  </si>
  <si>
    <t>Aukštakalnio g. 14,16 Utena</t>
  </si>
  <si>
    <t>Aukštakalnio g. 72, Utena</t>
  </si>
  <si>
    <t>Aušros g. 69 II k, Utena</t>
  </si>
  <si>
    <t>Taikos g. 26, Utena</t>
  </si>
  <si>
    <t>Krašuonos g. 13, Utena</t>
  </si>
  <si>
    <t>Taikos g .4, Utena</t>
  </si>
  <si>
    <t>Vaižganto g. 64, Utena</t>
  </si>
  <si>
    <t>Taikos g. 16, Utena</t>
  </si>
  <si>
    <t>Taikos g. 28, Utena</t>
  </si>
  <si>
    <t>Basanavičiaus g. 67, Utena</t>
  </si>
  <si>
    <t>Vaižganto g. 36, Utena</t>
  </si>
  <si>
    <t>Vaižganto g. 34a, Utena</t>
  </si>
  <si>
    <t>Aukštakalnio g. 6,8 , Utena</t>
  </si>
  <si>
    <t>Basanavičiaus g. 110 b, Utena</t>
  </si>
  <si>
    <t>Užpalių g.101, Utena</t>
  </si>
  <si>
    <t>Draugystės 16, Elektrėnai</t>
  </si>
  <si>
    <t>Draugystės 12, Elektrėnai</t>
  </si>
  <si>
    <t>Draugystės 7, Elektrėnai</t>
  </si>
  <si>
    <t>Šviesos 11, Elektrėnai</t>
  </si>
  <si>
    <t>Šviesos 14, Elektrėnai</t>
  </si>
  <si>
    <t>Sodų 13, Elektrėnai</t>
  </si>
  <si>
    <t>Elektrinės 15, Elektrėnai</t>
  </si>
  <si>
    <t>Šviesos 18, Elektrėnai</t>
  </si>
  <si>
    <t>Draugystės 8, Elektrėnai</t>
  </si>
  <si>
    <t>Pergalės 13, Elektrėnai</t>
  </si>
  <si>
    <t>Saulės 3, Elektrėnai</t>
  </si>
  <si>
    <t>Pergalės 47, Elektrėnai</t>
  </si>
  <si>
    <t>Draugystės 25, Elektrėnai</t>
  </si>
  <si>
    <t>Saulės 25, Elektrėnai</t>
  </si>
  <si>
    <t>Saulės 9, Elektrėnai</t>
  </si>
  <si>
    <t>Saulės 13, Elektrėnai</t>
  </si>
  <si>
    <t>Jaunystės 31, Radviliškis</t>
  </si>
  <si>
    <t>Kudirkos 4a, Radviliškis</t>
  </si>
  <si>
    <t>Vaižganto 58, Radviliškis</t>
  </si>
  <si>
    <t>Maironio 11a, Radviliškis</t>
  </si>
  <si>
    <t>Jaunystės 2, Radviliškis</t>
  </si>
  <si>
    <t>Vaižganto 58e, Radviliškis</t>
  </si>
  <si>
    <t>Laisvės al. 38, Radviliškis</t>
  </si>
  <si>
    <t>Radvilų 10, Radviliškis</t>
  </si>
  <si>
    <t>Bernotėno 3, Radviliškis</t>
  </si>
  <si>
    <t>Maiironio 5, Radviliškis</t>
  </si>
  <si>
    <t>Jaunimo 14, Raseiniai</t>
  </si>
  <si>
    <t>J.Basanavičiaus g. 3, Varėna</t>
  </si>
  <si>
    <t>Transporto g. 9, Varėna</t>
  </si>
  <si>
    <t>Naujųjų Valkininkų g. 1, Varėna</t>
  </si>
  <si>
    <t>Marcinkonių g. 22, Varėna</t>
  </si>
  <si>
    <t>J.Basanavičiaus g. 5, Varėna</t>
  </si>
  <si>
    <t>Marcinkonių g. 4, Varėna</t>
  </si>
  <si>
    <t>Vytauto g. 22, Varėna</t>
  </si>
  <si>
    <t>Z.Voronecko g. 1, Varėna</t>
  </si>
  <si>
    <t>Marcinkonių g. 18, Varėna</t>
  </si>
  <si>
    <t>Vytauto g. 56, Varėna</t>
  </si>
  <si>
    <t>Aušrod g. 1, Varėna</t>
  </si>
  <si>
    <t>J.Basanavičiaus g. 30, Varėna</t>
  </si>
  <si>
    <t>M.K.Čiurlionio g. 10A, Varėna</t>
  </si>
  <si>
    <t>Vytauto g. 25, Varėna</t>
  </si>
  <si>
    <t>Marcinkonių g. 6, Varėna</t>
  </si>
  <si>
    <t>Dzūkų g. 17, Varėna</t>
  </si>
  <si>
    <t>Aušros g. 10, Varėna</t>
  </si>
  <si>
    <t>Vasario 16-osios g. 8, Varėna</t>
  </si>
  <si>
    <t>Melioratorių g. 7, Varėna</t>
  </si>
  <si>
    <t>Vasario 16-osios g.4, Varėna</t>
  </si>
  <si>
    <t>M.K.Čiurlionio g. 37, Varėna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</si>
  <si>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Tauragė</t>
    </r>
  </si>
  <si>
    <r>
      <t xml:space="preserve">Prezidento g. 65 </t>
    </r>
    <r>
      <rPr>
        <i/>
        <sz val="8"/>
        <color indexed="10"/>
        <rFont val="Arial"/>
        <family val="2"/>
      </rPr>
      <t xml:space="preserve">(renov.), </t>
    </r>
    <r>
      <rPr>
        <i/>
        <sz val="8"/>
        <rFont val="Arial"/>
        <family val="2"/>
      </rPr>
      <t>Tauragė</t>
    </r>
  </si>
  <si>
    <r>
      <t xml:space="preserve">Prezidento g. 82 </t>
    </r>
    <r>
      <rPr>
        <i/>
        <sz val="8"/>
        <color indexed="10"/>
        <rFont val="Arial"/>
        <family val="2"/>
      </rPr>
      <t xml:space="preserve">(renov.), </t>
    </r>
    <r>
      <rPr>
        <i/>
        <sz val="8"/>
        <rFont val="Arial"/>
        <family val="2"/>
      </rPr>
      <t>Tauragė</t>
    </r>
  </si>
  <si>
    <r>
      <t xml:space="preserve">J.Tumo-Vaižganto g. 129B </t>
    </r>
    <r>
      <rPr>
        <i/>
        <sz val="8"/>
        <color indexed="10"/>
        <rFont val="Arial"/>
        <family val="2"/>
      </rPr>
      <t>(renov.), Tauragė</t>
    </r>
  </si>
  <si>
    <t>Dainavos g. 7 , Tauragė</t>
  </si>
  <si>
    <t>Ateities g. 20, Ignalina (renv.)</t>
  </si>
  <si>
    <t>Atgimimo g. 14, Ignalina (renv. )</t>
  </si>
  <si>
    <t>Turistų g. 47, Ignalina (renv.)</t>
  </si>
  <si>
    <t>Aukštaičių g. 32, Ignalina</t>
  </si>
  <si>
    <t xml:space="preserve">Turistų g. 49, Ignalina </t>
  </si>
  <si>
    <t>Vasario 16-osios, Ignalina</t>
  </si>
  <si>
    <t>Smėlio g. 32, Ignalina</t>
  </si>
  <si>
    <t>Ligoninės g. 11, Ignalina</t>
  </si>
  <si>
    <t>Smėlio g. 26, Ignalina</t>
  </si>
  <si>
    <t xml:space="preserve">Ateities g. 10, Ignalina </t>
  </si>
  <si>
    <t>Statybininkų 19, Prienai(renov.)</t>
  </si>
  <si>
    <t>Vaitkaus 6, Prienai (renov.)</t>
  </si>
  <si>
    <t>Jaunimo 15, Balbieriškis</t>
  </si>
  <si>
    <t>Stadiono 24A, Prienai</t>
  </si>
  <si>
    <t>Basanavičiaus 15/2, Prienai</t>
  </si>
  <si>
    <t>Jaunimo 17, Balbieriškis</t>
  </si>
  <si>
    <t>Jaunimo 7, Balbieriškis</t>
  </si>
  <si>
    <t>Statybininkų 5  2L., Prienai</t>
  </si>
  <si>
    <t>Stadiono 24  2L.,Prienai</t>
  </si>
  <si>
    <t>Kęstučio 71, Prienai</t>
  </si>
  <si>
    <t>Stadiono 4  1L.,Prienai</t>
  </si>
  <si>
    <t>Stadiono 14  2L.,Prienai</t>
  </si>
  <si>
    <t>Statybininkų 7  1L., Prienai</t>
  </si>
  <si>
    <t>Statybininkų 9  1L., Prienai</t>
  </si>
  <si>
    <t>Stadiono 22  2 L., Prienai</t>
  </si>
  <si>
    <t>Vytauto 30, Prienai</t>
  </si>
  <si>
    <t>Laisvės a.3/14, Prienai</t>
  </si>
  <si>
    <t>Vytenio 14, Prienai</t>
  </si>
  <si>
    <t>P.Mašioto 53, Pakruojis</t>
  </si>
  <si>
    <t>Saulėtekio 36, Pakruojis</t>
  </si>
  <si>
    <t>Kruojos 4, Pakruojis</t>
  </si>
  <si>
    <t>V.Didžiojo 63a, Pakruojis</t>
  </si>
  <si>
    <t>P.Mašioto 43a, Pakruojis</t>
  </si>
  <si>
    <t>Saulėtekio 50, Pakruojis</t>
  </si>
  <si>
    <t>Taikos 30, Pakruojis</t>
  </si>
  <si>
    <t>Skvero 4, Pakruojo k.</t>
  </si>
  <si>
    <t>Mindaugo 2c, Pakruojis</t>
  </si>
  <si>
    <t>V.Didžiojo 27, Pakruojis</t>
  </si>
  <si>
    <t>Birutės 29, Trakai</t>
  </si>
  <si>
    <t xml:space="preserve">        -</t>
  </si>
  <si>
    <t>Mindaugo 22, Trakai</t>
  </si>
  <si>
    <t>Mindaugo 8, Trakai</t>
  </si>
  <si>
    <t>Trakų 16, Trakai</t>
  </si>
  <si>
    <t>Nerūdininkų 8, S.Trakai</t>
  </si>
  <si>
    <t>Vytauto 9a, Lentvaris</t>
  </si>
  <si>
    <t>Vytauto 78, Trakai</t>
  </si>
  <si>
    <t>Pakalnės 7, Lentvaris</t>
  </si>
  <si>
    <t>Sodų 23A, Lentvaris</t>
  </si>
  <si>
    <t>Ežero 10, Lentvaris</t>
  </si>
  <si>
    <t>Vytauto 48B, Trakai</t>
  </si>
  <si>
    <t xml:space="preserve">      -</t>
  </si>
  <si>
    <t>Trakų 12, Trakai</t>
  </si>
  <si>
    <t>Birutės 41, Trakai</t>
  </si>
  <si>
    <t>Vytauto 6, Lentvaris</t>
  </si>
  <si>
    <t>Vytauto 72, Trakai</t>
  </si>
  <si>
    <t>Srebės 1A, Aukštadvaris</t>
  </si>
  <si>
    <t>Trakų 14, Trakai</t>
  </si>
  <si>
    <t>Klevų al. 38/7, Lentvaris</t>
  </si>
  <si>
    <t>Vienuolyno 11A, Trakai</t>
  </si>
  <si>
    <t>Konduktorių 6a,Lentvaris</t>
  </si>
  <si>
    <t>Technikumo 9, Aukštadvaris</t>
  </si>
  <si>
    <t>Pakalnės 30, Lentvaris</t>
  </si>
  <si>
    <t>Bažnyčios 11, Lentvaris</t>
  </si>
  <si>
    <t>Technikumo 4, Aukštadvaris</t>
  </si>
  <si>
    <t>Lauko 8, Lentvaris</t>
  </si>
  <si>
    <t>Lauko 12A, Lentvaris</t>
  </si>
  <si>
    <t>Mindaugo 20, Trakai</t>
  </si>
  <si>
    <t>Trakų 27, Trakai</t>
  </si>
  <si>
    <t>Pakalnės 23, Lentvaris</t>
  </si>
  <si>
    <t>Bažnyčios 21, Lentvaris</t>
  </si>
  <si>
    <t>]44</t>
  </si>
  <si>
    <t>Ažupiečių g.4, Anykščiai</t>
  </si>
  <si>
    <t>j. Biliūno g.8, Anykščiai</t>
  </si>
  <si>
    <t>Dariaus ir Girėno g.5, Anykščiai</t>
  </si>
  <si>
    <t>Basanavičiaus g. 50, Anykščiai</t>
  </si>
  <si>
    <t>j. Biliūno g. 20, Anykščiai</t>
  </si>
  <si>
    <t>j. Biliūno g. 10, Anykščiai</t>
  </si>
  <si>
    <t>Basanavičiaus g. 48, Anykščiai</t>
  </si>
  <si>
    <t>Statybininkų g.19, Anykščiai</t>
  </si>
  <si>
    <t>Statybininkų g.21, Anykščiai</t>
  </si>
  <si>
    <t>Basanavičiaus g. 60, Anykščiai</t>
  </si>
  <si>
    <t>Statybininkų g.23, Anykščiai</t>
  </si>
  <si>
    <t>Stadiono 13 Akmenė (renov)</t>
  </si>
  <si>
    <t>Ramučių 39 Naujoji Akmenė (renov)</t>
  </si>
  <si>
    <t>Stadiono 17 Akmenė (renov)</t>
  </si>
  <si>
    <t>Respublikos 24 Naujoji Akmenė (renov)</t>
  </si>
  <si>
    <t>Ramučių 33 Naujoji Akmenė (renov)</t>
  </si>
  <si>
    <t>Nepriklausomybės 8 Naujoji Akmenė (renov)</t>
  </si>
  <si>
    <t>Nepriklausomybės 4 Naujoji Akmenė (renov)</t>
  </si>
  <si>
    <t>Sodo 7 Akmenė</t>
  </si>
  <si>
    <t>Respublikos 16 Naujoji Akmenė</t>
  </si>
  <si>
    <t>Respublikos 27 Naujoji Akmenė</t>
  </si>
  <si>
    <t>Stadiono 18 Akmenė</t>
  </si>
  <si>
    <t>Respublikos 13 Naujoji Akmenė</t>
  </si>
  <si>
    <t>Klykolių 40 Akmenė</t>
  </si>
  <si>
    <t>V.Kudirkos 4 Naujoji Akmenė</t>
  </si>
  <si>
    <t>V.Kudirkos 6 Naujoji Akmenė</t>
  </si>
  <si>
    <t>Žalgirio  15 Naujoji Akmenė</t>
  </si>
  <si>
    <t>Nepriklausomybės 33 Naujoji Akmenė</t>
  </si>
  <si>
    <t>Nepriklausomybės 29 naujoji Akmenė</t>
  </si>
  <si>
    <t>Bausko 8 Venta</t>
  </si>
  <si>
    <t>Žalgirio 3 Naujoji Akmenė</t>
  </si>
  <si>
    <t>Dzūkų 11, Lazdijai</t>
  </si>
  <si>
    <t>Gedimino g. 24, Kaišiadorys</t>
  </si>
  <si>
    <t xml:space="preserve">iki 1992m. </t>
  </si>
  <si>
    <t>Gedimino g. 22, Kaišiadorys</t>
  </si>
  <si>
    <t>Gedimino g. 98, Kaišiadorys</t>
  </si>
  <si>
    <t>Gedimino g. 26, Kaišiadorys</t>
  </si>
  <si>
    <t>Gedimino g. 90, Kaišiadorys</t>
  </si>
  <si>
    <t>Gedimino g. 94, Kaišiadorys</t>
  </si>
  <si>
    <t>Maironio g. 8, Kaišiadorys</t>
  </si>
  <si>
    <t>Girelės g. 49, Kaišiadorys</t>
  </si>
  <si>
    <t>Gedimino g. 28, Kaišiadorys</t>
  </si>
  <si>
    <t>Birutės g. 5, Kaišiadorys</t>
  </si>
  <si>
    <t>Gedimino g. 96, Kaišiadorys</t>
  </si>
  <si>
    <t>Gedimino g. 78, Kaišiadorys</t>
  </si>
  <si>
    <t>Gedimino g. 86 , Kaišiadorys</t>
  </si>
  <si>
    <t>Gedimino g. 100, Kaišiadorys</t>
  </si>
  <si>
    <t>Ateities g. 1, Stasiūnai</t>
  </si>
  <si>
    <t>Ateities g. 8, Stasiūnai</t>
  </si>
  <si>
    <t>Ateities g. 10, Stasiūnai</t>
  </si>
  <si>
    <t>Ateities g. 6, Stasiūnai</t>
  </si>
  <si>
    <t>Rožių g. 1, Žiežmariai</t>
  </si>
  <si>
    <t>Žąslių 62A, Žiežmariai</t>
  </si>
  <si>
    <t>Parko g. 6, Stasiūnai</t>
  </si>
  <si>
    <t>Parko g. 8, Stasiūnai</t>
  </si>
  <si>
    <t>Ateities 7,9, Lazdijai</t>
  </si>
  <si>
    <t>Kailinių 5, Lazdijai</t>
  </si>
  <si>
    <t>Dainavos 11, Lazdijai</t>
  </si>
  <si>
    <t>Kauno 14, Lazdijai</t>
  </si>
  <si>
    <t>Dainavos 12, Lazdijai</t>
  </si>
  <si>
    <t>Dzūkų 15, Lazdijai</t>
  </si>
  <si>
    <t>Dzūkų 9, Lazdijai</t>
  </si>
  <si>
    <t>Dzūkų 13, Lazdijai</t>
  </si>
  <si>
    <t>Sodų 6, Lazdijai</t>
  </si>
  <si>
    <t>Montvilos 22, Lazdijai</t>
  </si>
  <si>
    <t>Dainavos 13, Lazdijai</t>
  </si>
  <si>
    <t>Sodų 10, Lazdijai</t>
  </si>
  <si>
    <t>Gustaičio 11, Lazdijai</t>
  </si>
  <si>
    <t>Dzūkų 17, Lazdijai</t>
  </si>
  <si>
    <t>Montvilos 20, Lazdijai</t>
  </si>
  <si>
    <t>Tiesos 8, Lazdijai</t>
  </si>
  <si>
    <t>Gustaičio 13, Lazdijai</t>
  </si>
  <si>
    <t>Ateities 5, Lazdijai</t>
  </si>
  <si>
    <t>Ateities 3-II, Lazdijai</t>
  </si>
  <si>
    <t>Montvilos 34-II, Lazdijai</t>
  </si>
  <si>
    <t>Vilniaus 5, Lazdijai</t>
  </si>
  <si>
    <t>Seinų 22, Lazdijai</t>
  </si>
  <si>
    <t>Senamiesčio 9, Lazdijai</t>
  </si>
  <si>
    <t>Vilniaus 14, Lazdijai</t>
  </si>
  <si>
    <t>Montvilos 32 I, Lazdijai</t>
  </si>
  <si>
    <t>Montvilos 32 II, Lazdijai</t>
  </si>
  <si>
    <t>Kauno 1, Lazdijai</t>
  </si>
  <si>
    <t>Liepų g. 2 (renov)  5 auk., Molėtai</t>
  </si>
  <si>
    <t>Liepų g. 23 5 auk., Molėtai</t>
  </si>
  <si>
    <t>Liepų g. 25 5 auk., Molėtai</t>
  </si>
  <si>
    <t>Liepų g. 21 5 auk., Molėtai</t>
  </si>
  <si>
    <t>Liepų g. 5 5 auk., Molėtai</t>
  </si>
  <si>
    <t>Amatų g. 14a 4 auk., Molėtai</t>
  </si>
  <si>
    <t>Mechanizatorių g. 4, 4 auk., Molėtai</t>
  </si>
  <si>
    <t>Liepų g. 9, 5 auk., Molėtai</t>
  </si>
  <si>
    <t>Melioratorių g. 17, 4 auk., Molėtai</t>
  </si>
  <si>
    <t>Inturkės g. 47, 2 auk., Molėtai</t>
  </si>
  <si>
    <t>Statybininkų g. 3, 2 auk., Molėtai</t>
  </si>
  <si>
    <t>J. Janonio g. 4, 2 auk., Molėtai</t>
  </si>
  <si>
    <t>Vilniaus g. 34, 2 auk., Molėtai</t>
  </si>
  <si>
    <t>Ažubalių g. 14a, 2 auk., Molėtai</t>
  </si>
  <si>
    <t>Inturkės g. 37, 2 auk., Molėtai</t>
  </si>
  <si>
    <t>Ažubalių g. 12, 2 auk., Molėtai</t>
  </si>
  <si>
    <t>Vilniaus g. 100, 2 auk., Molėtai</t>
  </si>
  <si>
    <t>Kęstučio g. 21, Šakiai</t>
  </si>
  <si>
    <t>V. Kudirkos g. 82, Šakiai</t>
  </si>
  <si>
    <t>V. Kudirkos g. 43, Šakiai</t>
  </si>
  <si>
    <t>S. Banaičio g. 3, Šakiai</t>
  </si>
  <si>
    <t>Bažnyčios g. 13, Šakiai</t>
  </si>
  <si>
    <t>Gimnazijos g. 34, Šakiai</t>
  </si>
  <si>
    <t>Jaunystės takas 5, Šakiai</t>
  </si>
  <si>
    <t>V. Kudirkos g. 39, Šakiai</t>
  </si>
  <si>
    <t>J. Basanavičiaus g. 4, Šakiai</t>
  </si>
  <si>
    <t>S. Banaičio g. 4, Šakiai</t>
  </si>
  <si>
    <t>V. Kudirkos g. 70, Šakiai</t>
  </si>
  <si>
    <t>Nepriklausomybės g. 3, Šakiai</t>
  </si>
  <si>
    <t>Šaulių g. 26, Šakiai</t>
  </si>
  <si>
    <t>Vytauto g. 4, Šakiai</t>
  </si>
  <si>
    <t>V. Kudirkos g. 37, Šakiai</t>
  </si>
  <si>
    <t>V. Kudirkos g. 51, Šakiai</t>
  </si>
  <si>
    <t>Vasario 16-osios 9, Šakiai</t>
  </si>
  <si>
    <t>Šaulių g. 8, Šakiai</t>
  </si>
  <si>
    <t>Vytauto g. 10, Šakiai</t>
  </si>
  <si>
    <t>Šaulių g. 22, Šakiai</t>
  </si>
  <si>
    <t>V. Kudirkos g. 86, Šakiai</t>
  </si>
  <si>
    <t>Bažnyčios g. 15, Šakiai</t>
  </si>
  <si>
    <t>Šaulių g. 10, Šakiai</t>
  </si>
  <si>
    <t>Šaulių g. 12, Šakiai</t>
  </si>
  <si>
    <t>Vytauto g. 6, Šakiai</t>
  </si>
  <si>
    <t>V. Kudirkos g. 47, Šakiai</t>
  </si>
  <si>
    <t>V. Kudirkos g. 94, Šakiai</t>
  </si>
  <si>
    <t>Kęstučio g. 4, Šakiai</t>
  </si>
  <si>
    <t>VYTAUTO 1A, Birštonas</t>
  </si>
  <si>
    <t>SRUOGOS 10, Birštonas</t>
  </si>
  <si>
    <t>SRUOGOS 8, Birštonas</t>
  </si>
  <si>
    <t>VILNIAUS 8, Birštonas</t>
  </si>
  <si>
    <t>VILNIAUS6, Birštonas</t>
  </si>
  <si>
    <t>VILNIAUS 10 III L., Birštonas</t>
  </si>
  <si>
    <t>KĘSTUČIO 27 IIL., Birštonas</t>
  </si>
  <si>
    <t>KĘSTUČIO27 IL., Birštonas</t>
  </si>
  <si>
    <t>KĘSTUČIO 25 IIL., Birštonas</t>
  </si>
  <si>
    <t>DAR.IR GIRĖNO 23A IIIL., Birštonas</t>
  </si>
  <si>
    <t>po 1992</t>
  </si>
  <si>
    <t>Tulpių g. 13 (renov), Panevėžys</t>
  </si>
  <si>
    <t>Molainių g. 8  (renov), Panevėžys</t>
  </si>
  <si>
    <t>Statybininkų g. 34 (renov), Panevėžys</t>
  </si>
  <si>
    <t>Klaipėdos g. 98 (renov), Panevėžys</t>
  </si>
  <si>
    <t>Beržų g. 31  (renov), Panevėžys</t>
  </si>
  <si>
    <t>Kniaudiškių g. 54 (renov), Panevėžys</t>
  </si>
  <si>
    <t>Nevėžio g. 40B (renov), Panevėžys</t>
  </si>
  <si>
    <t>Vaitkaus g.9, Panevėžys</t>
  </si>
  <si>
    <t>Klaipėdos g. 99 K2, Panevėžys</t>
  </si>
  <si>
    <t>Vaitkaus g.6  (renov. tik pastatas), Panevėžys</t>
  </si>
  <si>
    <t>Beržų g. 23, Panevėžys</t>
  </si>
  <si>
    <t>Statybininkų g. 11, Panevėžys</t>
  </si>
  <si>
    <t>Tulpių g. 3, Panevėžys</t>
  </si>
  <si>
    <t>Molainių g. 98 (renov), Panevėžys</t>
  </si>
  <si>
    <t>Nevėžio g. 40, Panevėžys</t>
  </si>
  <si>
    <t>Margirio g. 9, Panevėžys</t>
  </si>
  <si>
    <t>Klaipėdos g. 112, Panevėžys</t>
  </si>
  <si>
    <t>Vaitkaus g.3, Panevėžys</t>
  </si>
  <si>
    <t>Ateities g. 14, Panevėžys</t>
  </si>
  <si>
    <t>Ateities g. 32, Panevėžys</t>
  </si>
  <si>
    <t>Basanavičiaus g.  1, Panevėžys</t>
  </si>
  <si>
    <t>Vilniaus g. 16, Panevėžys</t>
  </si>
  <si>
    <t>Aukštaičių g. 66, Panevėžys</t>
  </si>
  <si>
    <t>Vilties 8, Panevėžys</t>
  </si>
  <si>
    <t>Vilties g. 47, Panevėžys</t>
  </si>
  <si>
    <t>Sodų 6, Panevėžys</t>
  </si>
  <si>
    <t>Kranto g. 25, Panevėžys</t>
  </si>
  <si>
    <t>Nepriklausomybės a. 9, Panevėžys</t>
  </si>
  <si>
    <t>Aldonos g. 3, Panevėžys</t>
  </si>
  <si>
    <t>Įmonių g. 21, Panevėžys</t>
  </si>
  <si>
    <t>Švyturio g. 19, Panevėžys</t>
  </si>
  <si>
    <t>Janonio g. 8-10, Panevėžys</t>
  </si>
  <si>
    <t>Vilniaus g. 53-55, Panevėžys</t>
  </si>
  <si>
    <t>Katedros g. 4, Panevėžys</t>
  </si>
  <si>
    <t>Kudirkos g. 3, Panevėžys</t>
  </si>
  <si>
    <t>Liepų al. 17, Panevėžys</t>
  </si>
  <si>
    <t>Švyturio g. 27, Panevėžys</t>
  </si>
  <si>
    <t>Respublikos 17, Panevėžys</t>
  </si>
  <si>
    <t>Jakšto g. 8-10, Panevėžys</t>
  </si>
  <si>
    <t>Nevėžio g. 24, Panevėžys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</si>
</sst>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"/>
  </numFmts>
  <fonts count="46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vertical="top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167" fontId="1" fillId="13" borderId="10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7" fontId="1" fillId="34" borderId="10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/>
      <protection locked="0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167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12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2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/>
    </xf>
    <xf numFmtId="0" fontId="9" fillId="33" borderId="10" xfId="56" applyFont="1" applyFill="1" applyBorder="1" applyAlignment="1">
      <alignment horizontal="left" vertical="top" wrapText="1"/>
      <protection/>
    </xf>
    <xf numFmtId="3" fontId="9" fillId="33" borderId="10" xfId="56" applyNumberFormat="1" applyFont="1" applyFill="1" applyBorder="1" applyAlignment="1">
      <alignment horizontal="center" vertical="top" wrapText="1"/>
      <protection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2" fontId="1" fillId="33" borderId="12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167" fontId="1" fillId="33" borderId="10" xfId="0" applyNumberFormat="1" applyFont="1" applyFill="1" applyBorder="1" applyAlignment="1" applyProtection="1">
      <alignment horizontal="center"/>
      <protection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12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9" fillId="33" borderId="10" xfId="56" applyNumberFormat="1" applyFont="1" applyFill="1" applyBorder="1" applyAlignment="1">
      <alignment horizontal="center" vertical="top" wrapText="1"/>
      <protection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9" fillId="33" borderId="10" xfId="56" applyNumberFormat="1" applyFont="1" applyFill="1" applyBorder="1" applyAlignment="1">
      <alignment horizontal="center" vertical="top" wrapText="1"/>
      <protection/>
    </xf>
    <xf numFmtId="165" fontId="1" fillId="13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 applyProtection="1">
      <alignment horizontal="center"/>
      <protection/>
    </xf>
    <xf numFmtId="2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11" xfId="0" applyNumberFormat="1" applyFont="1" applyFill="1" applyBorder="1" applyAlignment="1" applyProtection="1">
      <alignment horizontal="center"/>
      <protection/>
    </xf>
    <xf numFmtId="2" fontId="1" fillId="13" borderId="13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67" fontId="1" fillId="34" borderId="15" xfId="0" applyNumberFormat="1" applyFont="1" applyFill="1" applyBorder="1" applyAlignment="1" applyProtection="1">
      <alignment horizontal="center"/>
      <protection/>
    </xf>
    <xf numFmtId="2" fontId="1" fillId="34" borderId="15" xfId="0" applyNumberFormat="1" applyFont="1" applyFill="1" applyBorder="1" applyAlignment="1" applyProtection="1">
      <alignment horizontal="center"/>
      <protection/>
    </xf>
    <xf numFmtId="2" fontId="1" fillId="34" borderId="16" xfId="0" applyNumberFormat="1" applyFont="1" applyFill="1" applyBorder="1" applyAlignment="1" applyProtection="1">
      <alignment horizontal="center"/>
      <protection/>
    </xf>
    <xf numFmtId="165" fontId="1" fillId="34" borderId="15" xfId="0" applyNumberFormat="1" applyFont="1" applyFill="1" applyBorder="1" applyAlignment="1" applyProtection="1">
      <alignment horizontal="center"/>
      <protection locked="0"/>
    </xf>
    <xf numFmtId="2" fontId="1" fillId="34" borderId="15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165" fontId="1" fillId="33" borderId="11" xfId="0" applyNumberFormat="1" applyFont="1" applyFill="1" applyBorder="1" applyAlignment="1" applyProtection="1">
      <alignment horizontal="center"/>
      <protection locked="0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67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/>
    </xf>
    <xf numFmtId="2" fontId="1" fillId="33" borderId="13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>
      <alignment horizontal="center"/>
    </xf>
    <xf numFmtId="166" fontId="1" fillId="38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>
      <alignment/>
    </xf>
    <xf numFmtId="167" fontId="1" fillId="33" borderId="17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165" fontId="1" fillId="35" borderId="17" xfId="0" applyNumberFormat="1" applyFont="1" applyFill="1" applyBorder="1" applyAlignment="1">
      <alignment horizontal="center"/>
    </xf>
    <xf numFmtId="1" fontId="1" fillId="35" borderId="17" xfId="0" applyNumberFormat="1" applyFont="1" applyFill="1" applyBorder="1" applyAlignment="1">
      <alignment horizontal="center"/>
    </xf>
    <xf numFmtId="2" fontId="1" fillId="35" borderId="17" xfId="0" applyNumberFormat="1" applyFont="1" applyFill="1" applyBorder="1" applyAlignment="1">
      <alignment horizontal="center"/>
    </xf>
    <xf numFmtId="2" fontId="1" fillId="35" borderId="18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65" fontId="1" fillId="13" borderId="15" xfId="0" applyNumberFormat="1" applyFont="1" applyFill="1" applyBorder="1" applyAlignment="1" applyProtection="1">
      <alignment horizontal="center"/>
      <protection locked="0"/>
    </xf>
    <xf numFmtId="1" fontId="1" fillId="13" borderId="15" xfId="0" applyNumberFormat="1" applyFont="1" applyFill="1" applyBorder="1" applyAlignment="1" applyProtection="1">
      <alignment horizontal="center"/>
      <protection locked="0"/>
    </xf>
    <xf numFmtId="167" fontId="1" fillId="13" borderId="15" xfId="0" applyNumberFormat="1" applyFont="1" applyFill="1" applyBorder="1" applyAlignment="1" applyProtection="1">
      <alignment horizontal="center"/>
      <protection/>
    </xf>
    <xf numFmtId="2" fontId="1" fillId="13" borderId="15" xfId="0" applyNumberFormat="1" applyFont="1" applyFill="1" applyBorder="1" applyAlignment="1" applyProtection="1">
      <alignment horizontal="center"/>
      <protection locked="0"/>
    </xf>
    <xf numFmtId="2" fontId="1" fillId="13" borderId="15" xfId="0" applyNumberFormat="1" applyFont="1" applyFill="1" applyBorder="1" applyAlignment="1" applyProtection="1">
      <alignment horizontal="center"/>
      <protection/>
    </xf>
    <xf numFmtId="2" fontId="1" fillId="13" borderId="16" xfId="0" applyNumberFormat="1" applyFont="1" applyFill="1" applyBorder="1" applyAlignment="1" applyProtection="1">
      <alignment horizontal="center"/>
      <protection/>
    </xf>
    <xf numFmtId="0" fontId="1" fillId="13" borderId="11" xfId="0" applyFont="1" applyFill="1" applyBorder="1" applyAlignment="1" applyProtection="1">
      <alignment/>
      <protection locked="0"/>
    </xf>
    <xf numFmtId="0" fontId="1" fillId="13" borderId="11" xfId="0" applyFont="1" applyFill="1" applyBorder="1" applyAlignment="1" applyProtection="1">
      <alignment horizontal="center"/>
      <protection locked="0"/>
    </xf>
    <xf numFmtId="165" fontId="1" fillId="13" borderId="11" xfId="0" applyNumberFormat="1" applyFont="1" applyFill="1" applyBorder="1" applyAlignment="1" applyProtection="1">
      <alignment horizontal="center"/>
      <protection locked="0"/>
    </xf>
    <xf numFmtId="1" fontId="1" fillId="13" borderId="11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165" fontId="1" fillId="36" borderId="15" xfId="0" applyNumberFormat="1" applyFont="1" applyFill="1" applyBorder="1" applyAlignment="1" applyProtection="1">
      <alignment horizontal="center"/>
      <protection locked="0"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1" fontId="1" fillId="36" borderId="15" xfId="0" applyNumberFormat="1" applyFont="1" applyFill="1" applyBorder="1" applyAlignment="1" applyProtection="1">
      <alignment horizontal="center"/>
      <protection locked="0"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5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15" xfId="0" applyNumberFormat="1" applyFont="1" applyFill="1" applyBorder="1" applyAlignment="1" applyProtection="1">
      <alignment horizontal="center"/>
      <protection/>
    </xf>
    <xf numFmtId="2" fontId="1" fillId="36" borderId="12" xfId="0" applyNumberFormat="1" applyFont="1" applyFill="1" applyBorder="1" applyAlignment="1" applyProtection="1">
      <alignment horizontal="center"/>
      <protection/>
    </xf>
    <xf numFmtId="167" fontId="1" fillId="36" borderId="11" xfId="0" applyNumberFormat="1" applyFont="1" applyFill="1" applyBorder="1" applyAlignment="1" applyProtection="1">
      <alignment horizontal="center"/>
      <protection/>
    </xf>
    <xf numFmtId="2" fontId="1" fillId="36" borderId="11" xfId="0" applyNumberFormat="1" applyFont="1" applyFill="1" applyBorder="1" applyAlignment="1" applyProtection="1">
      <alignment horizontal="center"/>
      <protection/>
    </xf>
    <xf numFmtId="2" fontId="1" fillId="36" borderId="13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 locked="0"/>
    </xf>
    <xf numFmtId="0" fontId="1" fillId="13" borderId="15" xfId="0" applyFont="1" applyFill="1" applyBorder="1" applyAlignment="1" applyProtection="1">
      <alignment horizontal="center"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165" fontId="1" fillId="38" borderId="11" xfId="0" applyNumberFormat="1" applyFont="1" applyFill="1" applyBorder="1" applyAlignment="1" applyProtection="1">
      <alignment horizontal="center"/>
      <protection locked="0"/>
    </xf>
    <xf numFmtId="2" fontId="1" fillId="38" borderId="11" xfId="0" applyNumberFormat="1" applyFont="1" applyFill="1" applyBorder="1" applyAlignment="1" applyProtection="1">
      <alignment horizontal="center"/>
      <protection locked="0"/>
    </xf>
    <xf numFmtId="167" fontId="1" fillId="38" borderId="11" xfId="0" applyNumberFormat="1" applyFont="1" applyFill="1" applyBorder="1" applyAlignment="1" applyProtection="1">
      <alignment horizontal="center"/>
      <protection/>
    </xf>
    <xf numFmtId="2" fontId="1" fillId="38" borderId="11" xfId="0" applyNumberFormat="1" applyFont="1" applyFill="1" applyBorder="1" applyAlignment="1" applyProtection="1">
      <alignment horizontal="center"/>
      <protection/>
    </xf>
    <xf numFmtId="2" fontId="1" fillId="38" borderId="13" xfId="0" applyNumberFormat="1" applyFont="1" applyFill="1" applyBorder="1" applyAlignment="1" applyProtection="1">
      <alignment horizontal="center"/>
      <protection/>
    </xf>
    <xf numFmtId="0" fontId="9" fillId="36" borderId="10" xfId="56" applyFont="1" applyFill="1" applyBorder="1" applyAlignment="1">
      <alignment horizontal="left" vertical="top" wrapText="1"/>
      <protection/>
    </xf>
    <xf numFmtId="3" fontId="9" fillId="36" borderId="10" xfId="56" applyNumberFormat="1" applyFont="1" applyFill="1" applyBorder="1" applyAlignment="1">
      <alignment horizontal="center" vertical="top" wrapText="1"/>
      <protection/>
    </xf>
    <xf numFmtId="165" fontId="9" fillId="36" borderId="10" xfId="56" applyNumberFormat="1" applyFont="1" applyFill="1" applyBorder="1" applyAlignment="1">
      <alignment horizontal="center" vertical="top" wrapText="1"/>
      <protection/>
    </xf>
    <xf numFmtId="1" fontId="9" fillId="36" borderId="10" xfId="56" applyNumberFormat="1" applyFont="1" applyFill="1" applyBorder="1" applyAlignment="1">
      <alignment horizontal="center" vertical="top" wrapText="1"/>
      <protection/>
    </xf>
    <xf numFmtId="0" fontId="1" fillId="36" borderId="10" xfId="56" applyFont="1" applyFill="1" applyBorder="1" applyAlignment="1">
      <alignment horizontal="left" vertical="top" wrapText="1"/>
      <protection/>
    </xf>
    <xf numFmtId="3" fontId="1" fillId="36" borderId="10" xfId="56" applyNumberFormat="1" applyFont="1" applyFill="1" applyBorder="1" applyAlignment="1">
      <alignment horizontal="center" vertical="top" wrapText="1"/>
      <protection/>
    </xf>
    <xf numFmtId="165" fontId="1" fillId="36" borderId="10" xfId="56" applyNumberFormat="1" applyFont="1" applyFill="1" applyBorder="1" applyAlignment="1">
      <alignment horizontal="center" vertical="top" wrapText="1"/>
      <protection/>
    </xf>
    <xf numFmtId="1" fontId="1" fillId="36" borderId="10" xfId="56" applyNumberFormat="1" applyFont="1" applyFill="1" applyBorder="1" applyAlignment="1">
      <alignment horizontal="center" vertical="top" wrapText="1"/>
      <protection/>
    </xf>
    <xf numFmtId="167" fontId="1" fillId="36" borderId="15" xfId="0" applyNumberFormat="1" applyFont="1" applyFill="1" applyBorder="1" applyAlignment="1" applyProtection="1">
      <alignment horizontal="center"/>
      <protection/>
    </xf>
    <xf numFmtId="2" fontId="1" fillId="36" borderId="16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1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13" borderId="15" xfId="0" applyFont="1" applyFill="1" applyBorder="1" applyAlignment="1" applyProtection="1">
      <alignment/>
      <protection locked="0"/>
    </xf>
    <xf numFmtId="0" fontId="1" fillId="36" borderId="15" xfId="0" applyFont="1" applyFill="1" applyBorder="1" applyAlignment="1" applyProtection="1">
      <alignment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1" fillId="33" borderId="10" xfId="56" applyFont="1" applyFill="1" applyBorder="1" applyAlignment="1" applyProtection="1">
      <alignment vertical="top"/>
      <protection locked="0"/>
    </xf>
    <xf numFmtId="0" fontId="1" fillId="33" borderId="10" xfId="56" applyFont="1" applyFill="1" applyBorder="1" applyAlignment="1" applyProtection="1">
      <alignment horizontal="center"/>
      <protection locked="0"/>
    </xf>
    <xf numFmtId="165" fontId="1" fillId="33" borderId="10" xfId="56" applyNumberFormat="1" applyFont="1" applyFill="1" applyBorder="1" applyAlignment="1" applyProtection="1">
      <alignment horizontal="center"/>
      <protection locked="0"/>
    </xf>
    <xf numFmtId="165" fontId="9" fillId="33" borderId="10" xfId="56" applyNumberFormat="1" applyFont="1" applyFill="1" applyBorder="1" applyAlignment="1" applyProtection="1">
      <alignment horizontal="center" vertical="top"/>
      <protection locked="0"/>
    </xf>
    <xf numFmtId="1" fontId="9" fillId="33" borderId="10" xfId="56" applyNumberFormat="1" applyFont="1" applyFill="1" applyBorder="1" applyAlignment="1" applyProtection="1">
      <alignment horizontal="center" vertical="top"/>
      <protection locked="0"/>
    </xf>
    <xf numFmtId="167" fontId="1" fillId="33" borderId="10" xfId="56" applyNumberFormat="1" applyFont="1" applyFill="1" applyBorder="1" applyAlignment="1" applyProtection="1">
      <alignment horizontal="center"/>
      <protection/>
    </xf>
    <xf numFmtId="2" fontId="1" fillId="33" borderId="10" xfId="56" applyNumberFormat="1" applyFont="1" applyFill="1" applyBorder="1" applyAlignment="1" applyProtection="1">
      <alignment horizontal="center"/>
      <protection locked="0"/>
    </xf>
    <xf numFmtId="2" fontId="1" fillId="33" borderId="10" xfId="56" applyNumberFormat="1" applyFont="1" applyFill="1" applyBorder="1" applyAlignment="1" applyProtection="1">
      <alignment horizontal="center"/>
      <protection/>
    </xf>
    <xf numFmtId="2" fontId="1" fillId="33" borderId="12" xfId="56" applyNumberFormat="1" applyFont="1" applyFill="1" applyBorder="1" applyAlignment="1" applyProtection="1">
      <alignment horizontal="center"/>
      <protection/>
    </xf>
    <xf numFmtId="0" fontId="1" fillId="13" borderId="10" xfId="56" applyFont="1" applyFill="1" applyBorder="1" applyAlignment="1" applyProtection="1">
      <alignment vertical="top"/>
      <protection locked="0"/>
    </xf>
    <xf numFmtId="0" fontId="1" fillId="13" borderId="10" xfId="56" applyFont="1" applyFill="1" applyBorder="1" applyAlignment="1" applyProtection="1">
      <alignment horizontal="center"/>
      <protection locked="0"/>
    </xf>
    <xf numFmtId="165" fontId="1" fillId="13" borderId="10" xfId="56" applyNumberFormat="1" applyFont="1" applyFill="1" applyBorder="1" applyAlignment="1" applyProtection="1">
      <alignment horizontal="center"/>
      <protection locked="0"/>
    </xf>
    <xf numFmtId="165" fontId="9" fillId="13" borderId="10" xfId="56" applyNumberFormat="1" applyFont="1" applyFill="1" applyBorder="1" applyAlignment="1" applyProtection="1">
      <alignment horizontal="center" vertical="top"/>
      <protection locked="0"/>
    </xf>
    <xf numFmtId="1" fontId="9" fillId="13" borderId="10" xfId="56" applyNumberFormat="1" applyFont="1" applyFill="1" applyBorder="1" applyAlignment="1" applyProtection="1">
      <alignment horizontal="center" vertical="top"/>
      <protection locked="0"/>
    </xf>
    <xf numFmtId="167" fontId="1" fillId="13" borderId="10" xfId="56" applyNumberFormat="1" applyFont="1" applyFill="1" applyBorder="1" applyAlignment="1" applyProtection="1">
      <alignment horizontal="center"/>
      <protection/>
    </xf>
    <xf numFmtId="2" fontId="1" fillId="13" borderId="10" xfId="56" applyNumberFormat="1" applyFont="1" applyFill="1" applyBorder="1" applyAlignment="1" applyProtection="1">
      <alignment horizontal="center"/>
      <protection locked="0"/>
    </xf>
    <xf numFmtId="2" fontId="1" fillId="13" borderId="10" xfId="56" applyNumberFormat="1" applyFont="1" applyFill="1" applyBorder="1" applyAlignment="1" applyProtection="1">
      <alignment horizontal="center"/>
      <protection/>
    </xf>
    <xf numFmtId="2" fontId="1" fillId="13" borderId="12" xfId="56" applyNumberFormat="1" applyFont="1" applyFill="1" applyBorder="1" applyAlignment="1" applyProtection="1">
      <alignment horizontal="center"/>
      <protection/>
    </xf>
    <xf numFmtId="0" fontId="1" fillId="36" borderId="10" xfId="56" applyFont="1" applyFill="1" applyBorder="1" applyAlignment="1" applyProtection="1">
      <alignment vertical="top"/>
      <protection locked="0"/>
    </xf>
    <xf numFmtId="0" fontId="1" fillId="36" borderId="10" xfId="56" applyFont="1" applyFill="1" applyBorder="1" applyAlignment="1" applyProtection="1">
      <alignment horizontal="center"/>
      <protection locked="0"/>
    </xf>
    <xf numFmtId="165" fontId="1" fillId="36" borderId="10" xfId="56" applyNumberFormat="1" applyFont="1" applyFill="1" applyBorder="1" applyAlignment="1" applyProtection="1">
      <alignment horizontal="center"/>
      <protection locked="0"/>
    </xf>
    <xf numFmtId="165" fontId="9" fillId="36" borderId="10" xfId="56" applyNumberFormat="1" applyFont="1" applyFill="1" applyBorder="1" applyAlignment="1" applyProtection="1">
      <alignment horizontal="center" vertical="top"/>
      <protection locked="0"/>
    </xf>
    <xf numFmtId="1" fontId="9" fillId="36" borderId="10" xfId="56" applyNumberFormat="1" applyFont="1" applyFill="1" applyBorder="1" applyAlignment="1" applyProtection="1">
      <alignment horizontal="center" vertical="top"/>
      <protection locked="0"/>
    </xf>
    <xf numFmtId="167" fontId="1" fillId="36" borderId="10" xfId="56" applyNumberFormat="1" applyFont="1" applyFill="1" applyBorder="1" applyAlignment="1" applyProtection="1">
      <alignment horizontal="center"/>
      <protection/>
    </xf>
    <xf numFmtId="2" fontId="1" fillId="36" borderId="10" xfId="56" applyNumberFormat="1" applyFont="1" applyFill="1" applyBorder="1" applyAlignment="1" applyProtection="1">
      <alignment horizontal="center"/>
      <protection locked="0"/>
    </xf>
    <xf numFmtId="2" fontId="1" fillId="36" borderId="10" xfId="56" applyNumberFormat="1" applyFont="1" applyFill="1" applyBorder="1" applyAlignment="1" applyProtection="1">
      <alignment horizontal="center"/>
      <protection/>
    </xf>
    <xf numFmtId="2" fontId="1" fillId="36" borderId="12" xfId="56" applyNumberFormat="1" applyFont="1" applyFill="1" applyBorder="1" applyAlignment="1" applyProtection="1">
      <alignment horizontal="center"/>
      <protection/>
    </xf>
    <xf numFmtId="0" fontId="1" fillId="34" borderId="10" xfId="56" applyFont="1" applyFill="1" applyBorder="1" applyAlignment="1" applyProtection="1">
      <alignment vertical="top"/>
      <protection locked="0"/>
    </xf>
    <xf numFmtId="0" fontId="1" fillId="34" borderId="10" xfId="56" applyFont="1" applyFill="1" applyBorder="1" applyAlignment="1" applyProtection="1">
      <alignment horizontal="center"/>
      <protection locked="0"/>
    </xf>
    <xf numFmtId="165" fontId="1" fillId="34" borderId="10" xfId="56" applyNumberFormat="1" applyFont="1" applyFill="1" applyBorder="1" applyAlignment="1" applyProtection="1">
      <alignment horizontal="center"/>
      <protection locked="0"/>
    </xf>
    <xf numFmtId="165" fontId="9" fillId="34" borderId="10" xfId="56" applyNumberFormat="1" applyFont="1" applyFill="1" applyBorder="1" applyAlignment="1" applyProtection="1">
      <alignment horizontal="center" vertical="top"/>
      <protection locked="0"/>
    </xf>
    <xf numFmtId="1" fontId="9" fillId="34" borderId="10" xfId="56" applyNumberFormat="1" applyFont="1" applyFill="1" applyBorder="1" applyAlignment="1" applyProtection="1">
      <alignment horizontal="center" vertical="top"/>
      <protection locked="0"/>
    </xf>
    <xf numFmtId="167" fontId="1" fillId="34" borderId="10" xfId="56" applyNumberFormat="1" applyFont="1" applyFill="1" applyBorder="1" applyAlignment="1" applyProtection="1">
      <alignment horizontal="center"/>
      <protection/>
    </xf>
    <xf numFmtId="2" fontId="1" fillId="34" borderId="10" xfId="56" applyNumberFormat="1" applyFont="1" applyFill="1" applyBorder="1" applyAlignment="1" applyProtection="1">
      <alignment horizontal="center"/>
      <protection locked="0"/>
    </xf>
    <xf numFmtId="2" fontId="1" fillId="34" borderId="10" xfId="56" applyNumberFormat="1" applyFont="1" applyFill="1" applyBorder="1" applyAlignment="1" applyProtection="1">
      <alignment horizontal="center"/>
      <protection/>
    </xf>
    <xf numFmtId="2" fontId="1" fillId="34" borderId="12" xfId="56" applyNumberFormat="1" applyFont="1" applyFill="1" applyBorder="1" applyAlignment="1" applyProtection="1">
      <alignment horizontal="center"/>
      <protection/>
    </xf>
    <xf numFmtId="1" fontId="1" fillId="38" borderId="11" xfId="0" applyNumberFormat="1" applyFont="1" applyFill="1" applyBorder="1" applyAlignment="1" applyProtection="1">
      <alignment horizontal="center"/>
      <protection locked="0"/>
    </xf>
    <xf numFmtId="0" fontId="1" fillId="38" borderId="11" xfId="0" applyFont="1" applyFill="1" applyBorder="1" applyAlignment="1" applyProtection="1">
      <alignment/>
      <protection locked="0"/>
    </xf>
    <xf numFmtId="165" fontId="1" fillId="35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 applyProtection="1">
      <alignment/>
      <protection locked="0"/>
    </xf>
    <xf numFmtId="166" fontId="1" fillId="13" borderId="10" xfId="0" applyNumberFormat="1" applyFont="1" applyFill="1" applyBorder="1" applyAlignment="1" applyProtection="1">
      <alignment/>
      <protection locked="0"/>
    </xf>
    <xf numFmtId="166" fontId="1" fillId="36" borderId="10" xfId="0" applyNumberFormat="1" applyFont="1" applyFill="1" applyBorder="1" applyAlignment="1" applyProtection="1">
      <alignment/>
      <protection locked="0"/>
    </xf>
    <xf numFmtId="165" fontId="1" fillId="35" borderId="17" xfId="42" applyNumberFormat="1" applyFont="1" applyFill="1" applyBorder="1" applyAlignment="1">
      <alignment horizontal="center"/>
    </xf>
    <xf numFmtId="166" fontId="1" fillId="38" borderId="10" xfId="0" applyNumberFormat="1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 horizontal="left"/>
      <protection locked="0"/>
    </xf>
    <xf numFmtId="165" fontId="1" fillId="13" borderId="10" xfId="0" applyNumberFormat="1" applyFont="1" applyFill="1" applyBorder="1" applyAlignment="1" applyProtection="1">
      <alignment horizontal="center" vertical="center"/>
      <protection locked="0"/>
    </xf>
    <xf numFmtId="1" fontId="1" fillId="13" borderId="10" xfId="0" applyNumberFormat="1" applyFont="1" applyFill="1" applyBorder="1" applyAlignment="1" applyProtection="1">
      <alignment horizontal="center" vertical="center"/>
      <protection locked="0"/>
    </xf>
    <xf numFmtId="167" fontId="1" fillId="13" borderId="10" xfId="0" applyNumberFormat="1" applyFont="1" applyFill="1" applyBorder="1" applyAlignment="1" applyProtection="1">
      <alignment horizontal="center" vertical="center"/>
      <protection/>
    </xf>
    <xf numFmtId="2" fontId="1" fillId="13" borderId="10" xfId="0" applyNumberFormat="1" applyFont="1" applyFill="1" applyBorder="1" applyAlignment="1" applyProtection="1">
      <alignment horizontal="center" vertical="center"/>
      <protection locked="0"/>
    </xf>
    <xf numFmtId="2" fontId="1" fillId="13" borderId="10" xfId="0" applyNumberFormat="1" applyFont="1" applyFill="1" applyBorder="1" applyAlignment="1" applyProtection="1">
      <alignment horizontal="center" vertical="center"/>
      <protection/>
    </xf>
    <xf numFmtId="2" fontId="1" fillId="13" borderId="12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left"/>
      <protection locked="0"/>
    </xf>
    <xf numFmtId="165" fontId="1" fillId="36" borderId="10" xfId="0" applyNumberFormat="1" applyFont="1" applyFill="1" applyBorder="1" applyAlignment="1" applyProtection="1">
      <alignment horizontal="center" vertical="center"/>
      <protection locked="0"/>
    </xf>
    <xf numFmtId="1" fontId="1" fillId="36" borderId="10" xfId="0" applyNumberFormat="1" applyFont="1" applyFill="1" applyBorder="1" applyAlignment="1" applyProtection="1">
      <alignment horizontal="center" vertical="center"/>
      <protection locked="0"/>
    </xf>
    <xf numFmtId="167" fontId="1" fillId="36" borderId="10" xfId="0" applyNumberFormat="1" applyFont="1" applyFill="1" applyBorder="1" applyAlignment="1" applyProtection="1">
      <alignment horizontal="center" vertical="center"/>
      <protection/>
    </xf>
    <xf numFmtId="2" fontId="1" fillId="36" borderId="10" xfId="0" applyNumberFormat="1" applyFont="1" applyFill="1" applyBorder="1" applyAlignment="1" applyProtection="1">
      <alignment horizontal="center" vertical="center"/>
      <protection locked="0"/>
    </xf>
    <xf numFmtId="2" fontId="1" fillId="36" borderId="10" xfId="0" applyNumberFormat="1" applyFont="1" applyFill="1" applyBorder="1" applyAlignment="1" applyProtection="1">
      <alignment horizontal="center" vertical="center"/>
      <protection/>
    </xf>
    <xf numFmtId="2" fontId="1" fillId="36" borderId="12" xfId="0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166" fontId="1" fillId="34" borderId="10" xfId="0" applyNumberFormat="1" applyFont="1" applyFill="1" applyBorder="1" applyAlignment="1" applyProtection="1">
      <alignment horizontal="left" indent="4"/>
      <protection locked="0"/>
    </xf>
    <xf numFmtId="165" fontId="1" fillId="34" borderId="10" xfId="0" applyNumberFormat="1" applyFont="1" applyFill="1" applyBorder="1" applyAlignment="1" applyProtection="1">
      <alignment horizontal="center" vertical="center"/>
      <protection locked="0"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167" fontId="1" fillId="34" borderId="10" xfId="0" applyNumberFormat="1" applyFont="1" applyFill="1" applyBorder="1" applyAlignment="1" applyProtection="1">
      <alignment horizontal="center" vertical="center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2" fontId="1" fillId="34" borderId="12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/>
      <protection locked="0"/>
    </xf>
    <xf numFmtId="165" fontId="1" fillId="13" borderId="10" xfId="0" applyNumberFormat="1" applyFont="1" applyFill="1" applyBorder="1" applyAlignment="1" applyProtection="1">
      <alignment/>
      <protection locked="0"/>
    </xf>
    <xf numFmtId="2" fontId="1" fillId="34" borderId="10" xfId="0" applyNumberFormat="1" applyFont="1" applyFill="1" applyBorder="1" applyAlignment="1" applyProtection="1">
      <alignment horizontal="center" vertical="center"/>
      <protection locked="0"/>
    </xf>
    <xf numFmtId="166" fontId="1" fillId="33" borderId="10" xfId="0" applyNumberFormat="1" applyFont="1" applyFill="1" applyBorder="1" applyAlignment="1" applyProtection="1">
      <alignment/>
      <protection locked="0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165" fontId="1" fillId="36" borderId="10" xfId="0" applyNumberFormat="1" applyFont="1" applyFill="1" applyBorder="1" applyAlignment="1" applyProtection="1">
      <alignment/>
      <protection locked="0"/>
    </xf>
    <xf numFmtId="0" fontId="1" fillId="36" borderId="10" xfId="0" applyFont="1" applyFill="1" applyBorder="1" applyAlignment="1">
      <alignment horizontal="center"/>
    </xf>
    <xf numFmtId="166" fontId="1" fillId="34" borderId="10" xfId="0" applyNumberFormat="1" applyFont="1" applyFill="1" applyBorder="1" applyAlignment="1" applyProtection="1">
      <alignment/>
      <protection locked="0"/>
    </xf>
    <xf numFmtId="165" fontId="1" fillId="34" borderId="10" xfId="0" applyNumberFormat="1" applyFont="1" applyFill="1" applyBorder="1" applyAlignment="1" applyProtection="1">
      <alignment/>
      <protection locked="0"/>
    </xf>
    <xf numFmtId="2" fontId="1" fillId="33" borderId="10" xfId="0" applyNumberFormat="1" applyFont="1" applyFill="1" applyBorder="1" applyAlignment="1">
      <alignment horizontal="center" vertical="center"/>
    </xf>
    <xf numFmtId="166" fontId="1" fillId="36" borderId="15" xfId="0" applyNumberFormat="1" applyFont="1" applyFill="1" applyBorder="1" applyAlignment="1" applyProtection="1">
      <alignment/>
      <protection locked="0"/>
    </xf>
    <xf numFmtId="3" fontId="9" fillId="36" borderId="10" xfId="56" applyNumberFormat="1" applyFont="1" applyFill="1" applyBorder="1" applyAlignment="1" applyProtection="1">
      <alignment horizontal="center" vertical="top"/>
      <protection locked="0"/>
    </xf>
    <xf numFmtId="3" fontId="9" fillId="34" borderId="10" xfId="56" applyNumberFormat="1" applyFont="1" applyFill="1" applyBorder="1" applyAlignment="1" applyProtection="1">
      <alignment horizontal="center" vertical="top"/>
      <protection locked="0"/>
    </xf>
    <xf numFmtId="3" fontId="9" fillId="13" borderId="10" xfId="56" applyNumberFormat="1" applyFont="1" applyFill="1" applyBorder="1" applyAlignment="1" applyProtection="1">
      <alignment horizontal="center" vertical="top"/>
      <protection locked="0"/>
    </xf>
    <xf numFmtId="3" fontId="9" fillId="33" borderId="10" xfId="56" applyNumberFormat="1" applyFont="1" applyFill="1" applyBorder="1" applyAlignment="1" applyProtection="1">
      <alignment horizontal="center" vertical="top"/>
      <protection locked="0"/>
    </xf>
    <xf numFmtId="0" fontId="8" fillId="13" borderId="19" xfId="0" applyFont="1" applyFill="1" applyBorder="1" applyAlignment="1">
      <alignment horizontal="center" vertical="center" textRotation="90"/>
    </xf>
    <xf numFmtId="0" fontId="8" fillId="13" borderId="20" xfId="0" applyFont="1" applyFill="1" applyBorder="1" applyAlignment="1">
      <alignment horizontal="center" vertical="center" textRotation="90"/>
    </xf>
    <xf numFmtId="0" fontId="8" fillId="36" borderId="19" xfId="0" applyFont="1" applyFill="1" applyBorder="1" applyAlignment="1">
      <alignment horizontal="center" vertical="center" textRotation="90"/>
    </xf>
    <xf numFmtId="0" fontId="8" fillId="36" borderId="20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7" fontId="1" fillId="0" borderId="15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74" fontId="45" fillId="33" borderId="10" xfId="62" applyNumberFormat="1" applyFont="1" applyFill="1" applyBorder="1" applyAlignment="1">
      <alignment horizontal="center" vertical="top" wrapText="1"/>
      <protection/>
    </xf>
    <xf numFmtId="17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5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 applyProtection="1">
      <alignment horizontal="left" vertical="top" wrapText="1"/>
      <protection locked="0"/>
    </xf>
    <xf numFmtId="0" fontId="1" fillId="13" borderId="10" xfId="0" applyFont="1" applyFill="1" applyBorder="1" applyAlignment="1" applyProtection="1">
      <alignment horizontal="center" vertical="center" wrapText="1"/>
      <protection locked="0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174" fontId="45" fillId="13" borderId="10" xfId="0" applyNumberFormat="1" applyFont="1" applyFill="1" applyBorder="1" applyAlignment="1">
      <alignment horizontal="center" vertical="top" wrapText="1"/>
    </xf>
    <xf numFmtId="174" fontId="1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60" applyFont="1" applyFill="1" applyBorder="1" applyAlignment="1" applyProtection="1">
      <alignment horizontal="left" vertical="center" wrapText="1"/>
      <protection locked="0"/>
    </xf>
    <xf numFmtId="0" fontId="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60" applyFont="1" applyFill="1" applyBorder="1" applyAlignment="1" applyProtection="1">
      <alignment horizontal="center" vertical="center"/>
      <protection locked="0"/>
    </xf>
    <xf numFmtId="174" fontId="45" fillId="36" borderId="10" xfId="0" applyNumberFormat="1" applyFont="1" applyFill="1" applyBorder="1" applyAlignment="1">
      <alignment horizontal="center" vertical="top" wrapText="1"/>
    </xf>
    <xf numFmtId="174" fontId="45" fillId="36" borderId="10" xfId="61" applyNumberFormat="1" applyFont="1" applyFill="1" applyBorder="1" applyAlignment="1" applyProtection="1">
      <alignment horizontal="center" vertical="center" wrapText="1"/>
      <protection locked="0"/>
    </xf>
    <xf numFmtId="1" fontId="1" fillId="36" borderId="10" xfId="60" applyNumberFormat="1" applyFont="1" applyFill="1" applyBorder="1" applyAlignment="1" applyProtection="1">
      <alignment horizontal="center" vertical="center"/>
      <protection locked="0"/>
    </xf>
    <xf numFmtId="1" fontId="45" fillId="36" borderId="10" xfId="61" applyNumberFormat="1" applyFont="1" applyFill="1" applyBorder="1" applyAlignment="1" applyProtection="1">
      <alignment horizontal="center" vertical="center" wrapText="1"/>
      <protection locked="0"/>
    </xf>
    <xf numFmtId="1" fontId="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45" fillId="36" borderId="10" xfId="60" applyFont="1" applyFill="1" applyBorder="1" applyAlignment="1" applyProtection="1">
      <alignment horizontal="left" vertical="center" wrapText="1"/>
      <protection locked="0"/>
    </xf>
    <xf numFmtId="0" fontId="45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45" fillId="36" borderId="10" xfId="60" applyFont="1" applyFill="1" applyBorder="1" applyAlignment="1" applyProtection="1">
      <alignment horizontal="center" vertical="center"/>
      <protection locked="0"/>
    </xf>
    <xf numFmtId="0" fontId="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60" applyFont="1" applyFill="1" applyBorder="1" applyAlignment="1" applyProtection="1">
      <alignment horizontal="center" vertical="center"/>
      <protection locked="0"/>
    </xf>
    <xf numFmtId="174" fontId="45" fillId="34" borderId="10" xfId="0" applyNumberFormat="1" applyFont="1" applyFill="1" applyBorder="1" applyAlignment="1">
      <alignment horizontal="center" vertical="top" wrapText="1"/>
    </xf>
    <xf numFmtId="174" fontId="4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" fillId="34" borderId="10" xfId="60" applyNumberFormat="1" applyFont="1" applyFill="1" applyBorder="1" applyAlignment="1" applyProtection="1">
      <alignment horizontal="center" vertical="center"/>
      <protection locked="0"/>
    </xf>
    <xf numFmtId="1" fontId="4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45" fillId="36" borderId="10" xfId="6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/>
      <protection locked="0"/>
    </xf>
    <xf numFmtId="0" fontId="1" fillId="34" borderId="10" xfId="60" applyFont="1" applyFill="1" applyBorder="1" applyAlignment="1" applyProtection="1">
      <alignment horizontal="left" vertical="center" wrapText="1"/>
      <protection locked="0"/>
    </xf>
    <xf numFmtId="0" fontId="1" fillId="34" borderId="21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3" borderId="15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 horizontal="left"/>
      <protection locked="0"/>
    </xf>
    <xf numFmtId="0" fontId="1" fillId="13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1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5" fontId="1" fillId="36" borderId="15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 applyProtection="1">
      <alignment horizontal="center"/>
      <protection locked="0"/>
    </xf>
    <xf numFmtId="165" fontId="1" fillId="13" borderId="15" xfId="0" applyNumberFormat="1" applyFont="1" applyFill="1" applyBorder="1" applyAlignment="1">
      <alignment horizontal="center"/>
    </xf>
    <xf numFmtId="165" fontId="1" fillId="34" borderId="15" xfId="0" applyNumberFormat="1" applyFont="1" applyFill="1" applyBorder="1" applyAlignment="1">
      <alignment horizontal="center"/>
    </xf>
    <xf numFmtId="166" fontId="1" fillId="13" borderId="15" xfId="0" applyNumberFormat="1" applyFont="1" applyFill="1" applyBorder="1" applyAlignment="1" applyProtection="1">
      <alignment horizontal="center"/>
      <protection locked="0"/>
    </xf>
    <xf numFmtId="1" fontId="1" fillId="36" borderId="15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 applyProtection="1">
      <alignment horizontal="center"/>
      <protection locked="0"/>
    </xf>
    <xf numFmtId="1" fontId="1" fillId="13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67" fontId="1" fillId="36" borderId="15" xfId="0" applyNumberFormat="1" applyFont="1" applyFill="1" applyBorder="1" applyAlignment="1">
      <alignment horizontal="center"/>
    </xf>
    <xf numFmtId="167" fontId="1" fillId="34" borderId="22" xfId="0" applyNumberFormat="1" applyFont="1" applyFill="1" applyBorder="1" applyAlignment="1">
      <alignment horizontal="center"/>
    </xf>
    <xf numFmtId="167" fontId="1" fillId="33" borderId="15" xfId="0" applyNumberFormat="1" applyFont="1" applyFill="1" applyBorder="1" applyAlignment="1" applyProtection="1">
      <alignment horizontal="center"/>
      <protection/>
    </xf>
    <xf numFmtId="167" fontId="1" fillId="13" borderId="15" xfId="0" applyNumberFormat="1" applyFont="1" applyFill="1" applyBorder="1" applyAlignment="1">
      <alignment horizontal="center"/>
    </xf>
    <xf numFmtId="167" fontId="1" fillId="34" borderId="15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 vertical="center"/>
    </xf>
    <xf numFmtId="2" fontId="1" fillId="13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 applyProtection="1">
      <alignment horizontal="center"/>
      <protection/>
    </xf>
    <xf numFmtId="2" fontId="1" fillId="34" borderId="24" xfId="0" applyNumberFormat="1" applyFont="1" applyFill="1" applyBorder="1" applyAlignment="1" applyProtection="1">
      <alignment horizontal="center"/>
      <protection/>
    </xf>
    <xf numFmtId="2" fontId="1" fillId="34" borderId="24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 applyProtection="1">
      <alignment horizontal="center" vertical="center"/>
      <protection/>
    </xf>
    <xf numFmtId="2" fontId="1" fillId="36" borderId="16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 applyProtection="1">
      <alignment horizontal="center"/>
      <protection/>
    </xf>
    <xf numFmtId="2" fontId="1" fillId="13" borderId="16" xfId="0" applyNumberFormat="1" applyFont="1" applyFill="1" applyBorder="1" applyAlignment="1">
      <alignment horizontal="center"/>
    </xf>
    <xf numFmtId="2" fontId="1" fillId="34" borderId="16" xfId="0" applyNumberFormat="1" applyFont="1" applyFill="1" applyBorder="1" applyAlignment="1">
      <alignment horizontal="center"/>
    </xf>
    <xf numFmtId="0" fontId="45" fillId="13" borderId="10" xfId="60" applyFont="1" applyFill="1" applyBorder="1" applyAlignment="1" applyProtection="1">
      <alignment horizontal="left" vertical="center" wrapText="1"/>
      <protection locked="0"/>
    </xf>
    <xf numFmtId="0" fontId="45" fillId="13" borderId="10" xfId="60" applyNumberFormat="1" applyFont="1" applyFill="1" applyBorder="1" applyAlignment="1" applyProtection="1">
      <alignment horizontal="center" vertical="center" wrapText="1"/>
      <protection locked="0"/>
    </xf>
    <xf numFmtId="0" fontId="45" fillId="13" borderId="10" xfId="60" applyFont="1" applyFill="1" applyBorder="1" applyAlignment="1" applyProtection="1">
      <alignment horizontal="center" vertical="center"/>
      <protection locked="0"/>
    </xf>
    <xf numFmtId="174" fontId="45" fillId="13" borderId="10" xfId="61" applyNumberFormat="1" applyFont="1" applyFill="1" applyBorder="1" applyAlignment="1" applyProtection="1">
      <alignment horizontal="center" vertical="center" wrapText="1"/>
      <protection locked="0"/>
    </xf>
    <xf numFmtId="1" fontId="1" fillId="13" borderId="10" xfId="60" applyNumberFormat="1" applyFont="1" applyFill="1" applyBorder="1" applyAlignment="1" applyProtection="1">
      <alignment horizontal="center" vertical="center" wrapText="1"/>
      <protection locked="0"/>
    </xf>
    <xf numFmtId="1" fontId="45" fillId="13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6" borderId="15" xfId="60" applyFont="1" applyFill="1" applyBorder="1" applyAlignment="1" applyProtection="1">
      <alignment horizontal="left" vertical="center" wrapText="1"/>
      <protection locked="0"/>
    </xf>
    <xf numFmtId="0" fontId="1" fillId="36" borderId="15" xfId="60" applyNumberFormat="1" applyFont="1" applyFill="1" applyBorder="1" applyAlignment="1" applyProtection="1">
      <alignment horizontal="center" vertical="center" wrapText="1"/>
      <protection locked="0"/>
    </xf>
    <xf numFmtId="0" fontId="1" fillId="36" borderId="15" xfId="60" applyFont="1" applyFill="1" applyBorder="1" applyAlignment="1" applyProtection="1">
      <alignment horizontal="center" vertical="center"/>
      <protection locked="0"/>
    </xf>
    <xf numFmtId="174" fontId="45" fillId="36" borderId="15" xfId="0" applyNumberFormat="1" applyFont="1" applyFill="1" applyBorder="1" applyAlignment="1">
      <alignment horizontal="center" vertical="top" wrapText="1"/>
    </xf>
    <xf numFmtId="174" fontId="45" fillId="36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36" borderId="15" xfId="60" applyNumberFormat="1" applyFont="1" applyFill="1" applyBorder="1" applyAlignment="1" applyProtection="1">
      <alignment horizontal="center" vertical="center"/>
      <protection locked="0"/>
    </xf>
    <xf numFmtId="1" fontId="45" fillId="36" borderId="15" xfId="61" applyNumberFormat="1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19" xfId="0" applyFont="1" applyFill="1" applyBorder="1" applyAlignment="1">
      <alignment horizontal="center" vertical="center" textRotation="90"/>
    </xf>
    <xf numFmtId="0" fontId="8" fillId="34" borderId="0" xfId="0" applyFont="1" applyFill="1" applyBorder="1" applyAlignment="1">
      <alignment horizontal="center" vertical="center" textRotation="90"/>
    </xf>
    <xf numFmtId="0" fontId="1" fillId="36" borderId="11" xfId="60" applyFont="1" applyFill="1" applyBorder="1" applyAlignment="1" applyProtection="1">
      <alignment horizontal="left" vertical="center" wrapText="1"/>
      <protection locked="0"/>
    </xf>
    <xf numFmtId="0" fontId="1" fillId="36" borderId="11" xfId="60" applyNumberFormat="1" applyFont="1" applyFill="1" applyBorder="1" applyAlignment="1" applyProtection="1">
      <alignment horizontal="center" vertical="center" wrapText="1"/>
      <protection locked="0"/>
    </xf>
    <xf numFmtId="0" fontId="1" fillId="36" borderId="11" xfId="60" applyFont="1" applyFill="1" applyBorder="1" applyAlignment="1" applyProtection="1">
      <alignment horizontal="center" vertical="center"/>
      <protection locked="0"/>
    </xf>
    <xf numFmtId="174" fontId="45" fillId="36" borderId="11" xfId="0" applyNumberFormat="1" applyFont="1" applyFill="1" applyBorder="1" applyAlignment="1">
      <alignment horizontal="center" vertical="top" wrapText="1"/>
    </xf>
    <xf numFmtId="174" fontId="45" fillId="36" borderId="11" xfId="61" applyNumberFormat="1" applyFont="1" applyFill="1" applyBorder="1" applyAlignment="1" applyProtection="1">
      <alignment horizontal="center" vertical="center" wrapText="1"/>
      <protection locked="0"/>
    </xf>
    <xf numFmtId="1" fontId="1" fillId="36" borderId="11" xfId="60" applyNumberFormat="1" applyFont="1" applyFill="1" applyBorder="1" applyAlignment="1" applyProtection="1">
      <alignment horizontal="center" vertical="center"/>
      <protection locked="0"/>
    </xf>
    <xf numFmtId="1" fontId="45" fillId="36" borderId="11" xfId="61" applyNumberFormat="1" applyFont="1" applyFill="1" applyBorder="1" applyAlignment="1" applyProtection="1">
      <alignment horizontal="center" vertical="center" wrapText="1"/>
      <protection locked="0"/>
    </xf>
    <xf numFmtId="0" fontId="1" fillId="34" borderId="27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aprastas 2" xfId="60"/>
    <cellStyle name="Paprastas 3" xfId="61"/>
    <cellStyle name="Paprastas 4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5"/>
  <sheetViews>
    <sheetView tabSelected="1" zoomScale="110" zoomScaleNormal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" sqref="R1"/>
    </sheetView>
  </sheetViews>
  <sheetFormatPr defaultColWidth="9.140625" defaultRowHeight="12.75"/>
  <cols>
    <col min="1" max="1" width="9.140625" style="1" customWidth="1"/>
    <col min="2" max="2" width="24.710937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0.8515625" style="20" customWidth="1"/>
    <col min="13" max="13" width="9.7109375" style="1" customWidth="1"/>
    <col min="14" max="14" width="10.7109375" style="19" customWidth="1"/>
    <col min="15" max="15" width="11.421875" style="19" customWidth="1"/>
    <col min="16" max="16" width="14.00390625" style="19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2:16" s="7" customFormat="1" ht="13.5" customHeight="1">
      <c r="B1" s="279" t="s">
        <v>561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s="7" customFormat="1" ht="13.5" customHeight="1" thickBot="1">
      <c r="A2" s="89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2.75" customHeight="1">
      <c r="A3" s="277" t="s">
        <v>0</v>
      </c>
      <c r="B3" s="275" t="s">
        <v>1</v>
      </c>
      <c r="C3" s="275" t="s">
        <v>2</v>
      </c>
      <c r="D3" s="275" t="s">
        <v>10</v>
      </c>
      <c r="E3" s="287" t="s">
        <v>11</v>
      </c>
      <c r="F3" s="287"/>
      <c r="G3" s="287"/>
      <c r="H3" s="287"/>
      <c r="I3" s="275" t="s">
        <v>3</v>
      </c>
      <c r="J3" s="275" t="s">
        <v>12</v>
      </c>
      <c r="K3" s="275" t="s">
        <v>4</v>
      </c>
      <c r="L3" s="280" t="s">
        <v>5</v>
      </c>
      <c r="M3" s="275" t="s">
        <v>13</v>
      </c>
      <c r="N3" s="282" t="s">
        <v>14</v>
      </c>
      <c r="O3" s="282" t="s">
        <v>20</v>
      </c>
      <c r="P3" s="285" t="s">
        <v>21</v>
      </c>
    </row>
    <row r="4" spans="1:19" s="2" customFormat="1" ht="33.75">
      <c r="A4" s="278"/>
      <c r="B4" s="276"/>
      <c r="C4" s="276"/>
      <c r="D4" s="276"/>
      <c r="E4" s="6" t="s">
        <v>15</v>
      </c>
      <c r="F4" s="6" t="s">
        <v>16</v>
      </c>
      <c r="G4" s="6" t="s">
        <v>17</v>
      </c>
      <c r="H4" s="6" t="s">
        <v>18</v>
      </c>
      <c r="I4" s="276"/>
      <c r="J4" s="276"/>
      <c r="K4" s="276"/>
      <c r="L4" s="281"/>
      <c r="M4" s="276"/>
      <c r="N4" s="283"/>
      <c r="O4" s="283"/>
      <c r="P4" s="286"/>
      <c r="R4" s="21"/>
      <c r="S4" s="21"/>
    </row>
    <row r="5" spans="1:19" s="3" customFormat="1" ht="13.5" customHeight="1">
      <c r="A5" s="278"/>
      <c r="B5" s="276"/>
      <c r="C5" s="84" t="s">
        <v>6</v>
      </c>
      <c r="D5" s="84" t="s">
        <v>7</v>
      </c>
      <c r="E5" s="84" t="s">
        <v>8</v>
      </c>
      <c r="F5" s="84" t="s">
        <v>8</v>
      </c>
      <c r="G5" s="84" t="s">
        <v>8</v>
      </c>
      <c r="H5" s="84" t="s">
        <v>8</v>
      </c>
      <c r="I5" s="84" t="s">
        <v>19</v>
      </c>
      <c r="J5" s="84" t="s">
        <v>8</v>
      </c>
      <c r="K5" s="84" t="s">
        <v>19</v>
      </c>
      <c r="L5" s="85" t="s">
        <v>76</v>
      </c>
      <c r="M5" s="84" t="s">
        <v>9</v>
      </c>
      <c r="N5" s="86" t="s">
        <v>75</v>
      </c>
      <c r="O5" s="86" t="s">
        <v>22</v>
      </c>
      <c r="P5" s="90" t="s">
        <v>23</v>
      </c>
      <c r="R5" s="18"/>
      <c r="S5" s="18"/>
    </row>
    <row r="6" spans="1:19" s="3" customFormat="1" ht="13.5" customHeight="1" thickBot="1">
      <c r="A6" s="8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8">
        <v>12</v>
      </c>
      <c r="M6" s="88">
        <v>13</v>
      </c>
      <c r="N6" s="88">
        <v>14</v>
      </c>
      <c r="O6" s="88">
        <v>15</v>
      </c>
      <c r="P6" s="91">
        <v>16</v>
      </c>
      <c r="R6" s="18"/>
      <c r="S6" s="18"/>
    </row>
    <row r="7" spans="1:19" s="9" customFormat="1" ht="12.75" customHeight="1">
      <c r="A7" s="378" t="s">
        <v>71</v>
      </c>
      <c r="B7" s="124" t="s">
        <v>227</v>
      </c>
      <c r="C7" s="133">
        <v>50</v>
      </c>
      <c r="D7" s="133">
        <v>1978</v>
      </c>
      <c r="E7" s="134">
        <v>18.5</v>
      </c>
      <c r="F7" s="232">
        <v>5.06</v>
      </c>
      <c r="G7" s="134">
        <v>8</v>
      </c>
      <c r="H7" s="134">
        <f>E7-F7-G7</f>
        <v>5.440000000000001</v>
      </c>
      <c r="I7" s="135">
        <v>2590.16</v>
      </c>
      <c r="J7" s="134">
        <v>5.44</v>
      </c>
      <c r="K7" s="135">
        <v>2590.16</v>
      </c>
      <c r="L7" s="125">
        <f>J7/K7</f>
        <v>0.00210025635481978</v>
      </c>
      <c r="M7" s="136">
        <v>264.761</v>
      </c>
      <c r="N7" s="136">
        <f>L7*M7</f>
        <v>0.5560659727584398</v>
      </c>
      <c r="O7" s="136">
        <f>L7*1000*60</f>
        <v>126.01538128918678</v>
      </c>
      <c r="P7" s="137">
        <f>N7*60</f>
        <v>33.36395836550639</v>
      </c>
      <c r="Q7" s="11"/>
      <c r="R7" s="10"/>
      <c r="S7" s="10"/>
    </row>
    <row r="8" spans="1:22" s="9" customFormat="1" ht="12.75">
      <c r="A8" s="379"/>
      <c r="B8" s="49" t="s">
        <v>692</v>
      </c>
      <c r="C8" s="34">
        <v>100</v>
      </c>
      <c r="D8" s="34" t="s">
        <v>24</v>
      </c>
      <c r="E8" s="50">
        <v>34.77</v>
      </c>
      <c r="F8" s="50">
        <v>7.96</v>
      </c>
      <c r="G8" s="50">
        <v>16</v>
      </c>
      <c r="H8" s="50">
        <v>10.81</v>
      </c>
      <c r="I8" s="60">
        <v>4378</v>
      </c>
      <c r="J8" s="50">
        <v>10.81</v>
      </c>
      <c r="K8" s="60">
        <v>4378</v>
      </c>
      <c r="L8" s="51">
        <f>J8/K8</f>
        <v>0.0024691640018273185</v>
      </c>
      <c r="M8" s="28">
        <v>234.2</v>
      </c>
      <c r="N8" s="62">
        <f>L8*M8</f>
        <v>0.5782782092279579</v>
      </c>
      <c r="O8" s="62">
        <f>L8*60*1000</f>
        <v>148.14984010963911</v>
      </c>
      <c r="P8" s="61">
        <f>O8*M8/1000</f>
        <v>34.69669255367748</v>
      </c>
      <c r="Q8" s="10"/>
      <c r="R8" s="10"/>
      <c r="S8" s="10"/>
      <c r="T8" s="12"/>
      <c r="U8" s="13"/>
      <c r="V8" s="13"/>
    </row>
    <row r="9" spans="1:19" s="9" customFormat="1" ht="12.75">
      <c r="A9" s="379"/>
      <c r="B9" s="119" t="s">
        <v>118</v>
      </c>
      <c r="C9" s="34">
        <v>45</v>
      </c>
      <c r="D9" s="34">
        <v>1975</v>
      </c>
      <c r="E9" s="72">
        <f>F9+G9+H9</f>
        <v>17.45</v>
      </c>
      <c r="F9" s="72">
        <v>3.87</v>
      </c>
      <c r="G9" s="72">
        <v>7.2</v>
      </c>
      <c r="H9" s="72">
        <v>6.38</v>
      </c>
      <c r="I9" s="68">
        <v>2325.22</v>
      </c>
      <c r="J9" s="72">
        <v>6.38</v>
      </c>
      <c r="K9" s="68">
        <v>2325.22</v>
      </c>
      <c r="L9" s="63">
        <f>J9/K9</f>
        <v>0.0027438263906211027</v>
      </c>
      <c r="M9" s="28">
        <v>314.4</v>
      </c>
      <c r="N9" s="62">
        <f>L9*M9</f>
        <v>0.8626590172112746</v>
      </c>
      <c r="O9" s="62">
        <f>L9*60*1000</f>
        <v>164.62958343726618</v>
      </c>
      <c r="P9" s="61">
        <f>O9*M9/1000</f>
        <v>51.75954103267648</v>
      </c>
      <c r="R9" s="10"/>
      <c r="S9" s="10"/>
    </row>
    <row r="10" spans="1:19" s="9" customFormat="1" ht="12.75">
      <c r="A10" s="379"/>
      <c r="B10" s="119" t="s">
        <v>119</v>
      </c>
      <c r="C10" s="34">
        <v>44</v>
      </c>
      <c r="D10" s="34">
        <v>1975</v>
      </c>
      <c r="E10" s="72">
        <f>F10+G10+H10</f>
        <v>18</v>
      </c>
      <c r="F10" s="72">
        <v>3.42</v>
      </c>
      <c r="G10" s="72">
        <v>7.04</v>
      </c>
      <c r="H10" s="72">
        <v>7.54</v>
      </c>
      <c r="I10" s="68">
        <v>2309.11</v>
      </c>
      <c r="J10" s="72">
        <v>7.54</v>
      </c>
      <c r="K10" s="68">
        <v>2309.11</v>
      </c>
      <c r="L10" s="63">
        <f>J10/K10</f>
        <v>0.003265327333907869</v>
      </c>
      <c r="M10" s="28">
        <v>314.4</v>
      </c>
      <c r="N10" s="62">
        <f>L10*M10</f>
        <v>1.0266189137806339</v>
      </c>
      <c r="O10" s="62">
        <f>L10*60*1000</f>
        <v>195.91964003447214</v>
      </c>
      <c r="P10" s="61">
        <f>O10*M10/1000</f>
        <v>61.59713482683804</v>
      </c>
      <c r="R10" s="10"/>
      <c r="S10" s="10"/>
    </row>
    <row r="11" spans="1:19" s="9" customFormat="1" ht="12.75">
      <c r="A11" s="379"/>
      <c r="B11" s="40" t="s">
        <v>77</v>
      </c>
      <c r="C11" s="22">
        <v>40</v>
      </c>
      <c r="D11" s="22">
        <v>2007</v>
      </c>
      <c r="E11" s="71">
        <v>18.496</v>
      </c>
      <c r="F11" s="71">
        <v>7.080168</v>
      </c>
      <c r="G11" s="71">
        <v>3.2</v>
      </c>
      <c r="H11" s="71">
        <v>8.215833</v>
      </c>
      <c r="I11" s="31">
        <v>2350.71</v>
      </c>
      <c r="J11" s="71">
        <v>8.215834000000001</v>
      </c>
      <c r="K11" s="31">
        <v>2350.71</v>
      </c>
      <c r="L11" s="41">
        <f>J11/K11</f>
        <v>0.003495043625117518</v>
      </c>
      <c r="M11" s="22">
        <v>298.66</v>
      </c>
      <c r="N11" s="23">
        <f>L11*M11</f>
        <v>1.043829729077598</v>
      </c>
      <c r="O11" s="23">
        <f>L11*60*1000</f>
        <v>209.7026175070511</v>
      </c>
      <c r="P11" s="42">
        <f>O11*M11/1000</f>
        <v>62.62978374465588</v>
      </c>
      <c r="R11" s="10"/>
      <c r="S11" s="10"/>
    </row>
    <row r="12" spans="1:19" s="9" customFormat="1" ht="12.75">
      <c r="A12" s="379"/>
      <c r="B12" s="40" t="s">
        <v>26</v>
      </c>
      <c r="C12" s="22">
        <v>116</v>
      </c>
      <c r="D12" s="22">
        <v>2007</v>
      </c>
      <c r="E12" s="71">
        <v>58.156</v>
      </c>
      <c r="F12" s="71">
        <v>22.389255</v>
      </c>
      <c r="G12" s="71">
        <v>9.119745</v>
      </c>
      <c r="H12" s="71">
        <v>26.647</v>
      </c>
      <c r="I12" s="31">
        <v>7056.7</v>
      </c>
      <c r="J12" s="71">
        <v>26.647</v>
      </c>
      <c r="K12" s="31">
        <v>7056.7</v>
      </c>
      <c r="L12" s="41">
        <f>J12/K12</f>
        <v>0.0037761276517352302</v>
      </c>
      <c r="M12" s="22">
        <v>298.66</v>
      </c>
      <c r="N12" s="23">
        <f>L12*M12</f>
        <v>1.127778284467244</v>
      </c>
      <c r="O12" s="23">
        <f>L12*60*1000</f>
        <v>226.5676591041138</v>
      </c>
      <c r="P12" s="42">
        <f>O12*M12/1000</f>
        <v>67.66669706803462</v>
      </c>
      <c r="R12" s="10"/>
      <c r="S12" s="10"/>
    </row>
    <row r="13" spans="1:19" s="9" customFormat="1" ht="12.75">
      <c r="A13" s="379"/>
      <c r="B13" s="107" t="s">
        <v>185</v>
      </c>
      <c r="C13" s="34">
        <v>30</v>
      </c>
      <c r="D13" s="34">
        <v>1985</v>
      </c>
      <c r="E13" s="50">
        <v>14.091</v>
      </c>
      <c r="F13" s="50">
        <v>3.626</v>
      </c>
      <c r="G13" s="50">
        <v>4.8</v>
      </c>
      <c r="H13" s="50">
        <v>5.665</v>
      </c>
      <c r="I13" s="28">
        <v>1496.17</v>
      </c>
      <c r="J13" s="50">
        <v>5.665</v>
      </c>
      <c r="K13" s="28">
        <v>1496.17</v>
      </c>
      <c r="L13" s="51">
        <f>J13/K13</f>
        <v>0.0037863344406050114</v>
      </c>
      <c r="M13" s="28">
        <v>302.3</v>
      </c>
      <c r="N13" s="52">
        <f>L13*M13</f>
        <v>1.144608901394895</v>
      </c>
      <c r="O13" s="52">
        <f>L13*60*1000</f>
        <v>227.18006643630068</v>
      </c>
      <c r="P13" s="53">
        <f>O13*M13/1000</f>
        <v>68.6765340836937</v>
      </c>
      <c r="R13" s="10"/>
      <c r="S13" s="10"/>
    </row>
    <row r="14" spans="1:16" s="9" customFormat="1" ht="11.25" customHeight="1">
      <c r="A14" s="379"/>
      <c r="B14" s="58" t="s">
        <v>193</v>
      </c>
      <c r="C14" s="59">
        <v>30</v>
      </c>
      <c r="D14" s="22">
        <v>1971</v>
      </c>
      <c r="E14" s="71">
        <f>+F14+G14+H14</f>
        <v>14.666003</v>
      </c>
      <c r="F14" s="73">
        <v>3.8166480000000003</v>
      </c>
      <c r="G14" s="73">
        <v>4.8</v>
      </c>
      <c r="H14" s="73">
        <v>6.049355</v>
      </c>
      <c r="I14" s="69">
        <v>1569.65</v>
      </c>
      <c r="J14" s="73">
        <v>6.049355</v>
      </c>
      <c r="K14" s="69">
        <v>1569.65</v>
      </c>
      <c r="L14" s="41">
        <f>+J14/K14</f>
        <v>0.0038539515178542985</v>
      </c>
      <c r="M14" s="23">
        <v>338.118</v>
      </c>
      <c r="N14" s="23">
        <f>+L14*M14</f>
        <v>1.3030903793138597</v>
      </c>
      <c r="O14" s="23">
        <f>+L14*60*1000</f>
        <v>231.23709107125794</v>
      </c>
      <c r="P14" s="42">
        <f>+N14*60</f>
        <v>78.18542275883158</v>
      </c>
    </row>
    <row r="15" spans="1:19" s="9" customFormat="1" ht="12.75">
      <c r="A15" s="379"/>
      <c r="B15" s="40" t="s">
        <v>783</v>
      </c>
      <c r="C15" s="22">
        <v>55</v>
      </c>
      <c r="D15" s="22" t="s">
        <v>24</v>
      </c>
      <c r="E15" s="50">
        <f>F15+G15+H15</f>
        <v>24.65</v>
      </c>
      <c r="F15" s="50">
        <v>4.34</v>
      </c>
      <c r="G15" s="50">
        <v>8.81</v>
      </c>
      <c r="H15" s="50">
        <v>11.5</v>
      </c>
      <c r="I15" s="31">
        <v>2979.08</v>
      </c>
      <c r="J15" s="50">
        <v>11.5</v>
      </c>
      <c r="K15" s="31">
        <v>2979.1</v>
      </c>
      <c r="L15" s="51">
        <f>J15/K15</f>
        <v>0.0038602262428250145</v>
      </c>
      <c r="M15" s="28">
        <v>206.1</v>
      </c>
      <c r="N15" s="52">
        <f>L15*M15</f>
        <v>0.7955926286462355</v>
      </c>
      <c r="O15" s="52">
        <f>L15*60*1000</f>
        <v>231.61357456950088</v>
      </c>
      <c r="P15" s="53">
        <f>O15*M15/1000</f>
        <v>47.73555771877413</v>
      </c>
      <c r="R15" s="10"/>
      <c r="S15" s="10"/>
    </row>
    <row r="16" spans="1:19" s="9" customFormat="1" ht="12.75">
      <c r="A16" s="379"/>
      <c r="B16" s="40" t="s">
        <v>784</v>
      </c>
      <c r="C16" s="22">
        <v>20</v>
      </c>
      <c r="D16" s="22" t="s">
        <v>24</v>
      </c>
      <c r="E16" s="50">
        <f>F16+G16+H16</f>
        <v>9.425999999999998</v>
      </c>
      <c r="F16" s="50">
        <v>2.09</v>
      </c>
      <c r="G16" s="50">
        <v>3.26</v>
      </c>
      <c r="H16" s="50">
        <v>4.076</v>
      </c>
      <c r="I16" s="31">
        <v>1055.4</v>
      </c>
      <c r="J16" s="50">
        <v>4.076</v>
      </c>
      <c r="K16" s="31">
        <v>1055.4</v>
      </c>
      <c r="L16" s="51">
        <f>J16/K16</f>
        <v>0.003862042827364032</v>
      </c>
      <c r="M16" s="28">
        <v>206.1</v>
      </c>
      <c r="N16" s="52">
        <f>L16*M16</f>
        <v>0.795967026719727</v>
      </c>
      <c r="O16" s="52">
        <f>L16*60*1000</f>
        <v>231.72256964184191</v>
      </c>
      <c r="P16" s="53">
        <f>O16*M16/1000</f>
        <v>47.758021603183614</v>
      </c>
      <c r="R16" s="10"/>
      <c r="S16" s="10"/>
    </row>
    <row r="17" spans="1:19" s="9" customFormat="1" ht="12.75" customHeight="1">
      <c r="A17" s="379"/>
      <c r="B17" s="40" t="s">
        <v>246</v>
      </c>
      <c r="C17" s="22">
        <v>30</v>
      </c>
      <c r="D17" s="22" t="s">
        <v>156</v>
      </c>
      <c r="E17" s="71">
        <f>F17+G17+H17</f>
        <v>15.5412</v>
      </c>
      <c r="F17" s="71">
        <v>4.0917</v>
      </c>
      <c r="G17" s="71">
        <v>4.8</v>
      </c>
      <c r="H17" s="71">
        <v>6.6495</v>
      </c>
      <c r="I17" s="31">
        <v>1717.43</v>
      </c>
      <c r="J17" s="71">
        <v>6.6495</v>
      </c>
      <c r="K17" s="31">
        <v>1717.43</v>
      </c>
      <c r="L17" s="41">
        <f>J17/K17</f>
        <v>0.0038717735220649458</v>
      </c>
      <c r="M17" s="23">
        <v>210</v>
      </c>
      <c r="N17" s="23">
        <f>L17*M17</f>
        <v>0.8130724396336386</v>
      </c>
      <c r="O17" s="23">
        <f>L17*1000*60</f>
        <v>232.30641132389673</v>
      </c>
      <c r="P17" s="42">
        <f>N17*60</f>
        <v>48.78434637801832</v>
      </c>
      <c r="R17" s="10"/>
      <c r="S17" s="10"/>
    </row>
    <row r="18" spans="1:26" s="14" customFormat="1" ht="12.75">
      <c r="A18" s="379"/>
      <c r="B18" s="119" t="s">
        <v>309</v>
      </c>
      <c r="C18" s="34">
        <v>39</v>
      </c>
      <c r="D18" s="34">
        <v>1985</v>
      </c>
      <c r="E18" s="72">
        <f>F18+G18+H18</f>
        <v>19.65</v>
      </c>
      <c r="F18" s="72">
        <v>4.27</v>
      </c>
      <c r="G18" s="72">
        <v>6.32</v>
      </c>
      <c r="H18" s="72">
        <v>9.06</v>
      </c>
      <c r="I18" s="68">
        <v>2285.27</v>
      </c>
      <c r="J18" s="72">
        <v>9.06</v>
      </c>
      <c r="K18" s="68">
        <v>2285.27</v>
      </c>
      <c r="L18" s="63">
        <f>J18/K18</f>
        <v>0.003964520603692343</v>
      </c>
      <c r="M18" s="28">
        <v>314.4</v>
      </c>
      <c r="N18" s="62">
        <f>L18*M18</f>
        <v>1.2464452778008726</v>
      </c>
      <c r="O18" s="62">
        <f>L18*60*1000</f>
        <v>237.87123622154056</v>
      </c>
      <c r="P18" s="61">
        <f>O18*M18/1000</f>
        <v>74.78671666805235</v>
      </c>
      <c r="Q18" s="11"/>
      <c r="R18" s="10"/>
      <c r="S18" s="10"/>
      <c r="T18" s="9"/>
      <c r="U18" s="9"/>
      <c r="V18" s="9"/>
      <c r="W18" s="9"/>
      <c r="X18" s="9"/>
      <c r="Y18" s="9"/>
      <c r="Z18" s="9"/>
    </row>
    <row r="19" spans="1:26" s="9" customFormat="1" ht="12.75">
      <c r="A19" s="379"/>
      <c r="B19" s="49" t="s">
        <v>447</v>
      </c>
      <c r="C19" s="34">
        <v>13</v>
      </c>
      <c r="D19" s="34">
        <v>2009</v>
      </c>
      <c r="E19" s="50">
        <v>20.016</v>
      </c>
      <c r="F19" s="50">
        <v>1.734</v>
      </c>
      <c r="G19" s="50">
        <v>4.32</v>
      </c>
      <c r="H19" s="50">
        <v>13.962</v>
      </c>
      <c r="I19" s="60">
        <v>3676.91</v>
      </c>
      <c r="J19" s="50">
        <v>6.25</v>
      </c>
      <c r="K19" s="60">
        <v>1573.91</v>
      </c>
      <c r="L19" s="51">
        <f>J19/K19</f>
        <v>0.003971002153871568</v>
      </c>
      <c r="M19" s="28">
        <v>328.526</v>
      </c>
      <c r="N19" s="62">
        <f>L19*M19</f>
        <v>1.3045774536028107</v>
      </c>
      <c r="O19" s="62">
        <f>L19*60*1000</f>
        <v>238.26012923229405</v>
      </c>
      <c r="P19" s="61">
        <f>O19*M19/1000</f>
        <v>78.27464721616865</v>
      </c>
      <c r="R19" s="10"/>
      <c r="S19" s="10"/>
      <c r="Z19" s="14"/>
    </row>
    <row r="20" spans="1:19" s="9" customFormat="1" ht="12.75">
      <c r="A20" s="379"/>
      <c r="B20" s="107" t="s">
        <v>184</v>
      </c>
      <c r="C20" s="34">
        <v>25</v>
      </c>
      <c r="D20" s="34">
        <v>1969</v>
      </c>
      <c r="E20" s="50">
        <v>11.005</v>
      </c>
      <c r="F20" s="50">
        <v>1.836</v>
      </c>
      <c r="G20" s="50">
        <v>3.84</v>
      </c>
      <c r="H20" s="50">
        <v>5.329</v>
      </c>
      <c r="I20" s="28">
        <v>1321.91</v>
      </c>
      <c r="J20" s="50">
        <v>5.329</v>
      </c>
      <c r="K20" s="28">
        <v>1321.91</v>
      </c>
      <c r="L20" s="51">
        <f>J20/K20</f>
        <v>0.004031288060457973</v>
      </c>
      <c r="M20" s="28">
        <v>302.3</v>
      </c>
      <c r="N20" s="52">
        <f>L20*M20</f>
        <v>1.2186583806764453</v>
      </c>
      <c r="O20" s="52">
        <f>L20*60*1000</f>
        <v>241.87728362747836</v>
      </c>
      <c r="P20" s="53">
        <f>O20*M20/1000</f>
        <v>73.1195028405867</v>
      </c>
      <c r="Q20" s="11"/>
      <c r="R20" s="10"/>
      <c r="S20" s="10"/>
    </row>
    <row r="21" spans="1:19" s="9" customFormat="1" ht="12.75">
      <c r="A21" s="379"/>
      <c r="B21" s="40" t="s">
        <v>49</v>
      </c>
      <c r="C21" s="22">
        <v>86</v>
      </c>
      <c r="D21" s="22">
        <v>2006</v>
      </c>
      <c r="E21" s="71">
        <v>37.17</v>
      </c>
      <c r="F21" s="71">
        <v>12.15</v>
      </c>
      <c r="G21" s="71">
        <v>4.41</v>
      </c>
      <c r="H21" s="71">
        <f>E21-F21-G21</f>
        <v>20.610000000000003</v>
      </c>
      <c r="I21" s="31">
        <v>5062</v>
      </c>
      <c r="J21" s="71">
        <f>H21/I21*K21</f>
        <v>20.610000000000003</v>
      </c>
      <c r="K21" s="22">
        <v>5062</v>
      </c>
      <c r="L21" s="41">
        <f>J21/K21</f>
        <v>0.004071513235875149</v>
      </c>
      <c r="M21" s="138">
        <f>294.4*1.09</f>
        <v>320.896</v>
      </c>
      <c r="N21" s="23">
        <f>L21*M21</f>
        <v>1.3065323113393918</v>
      </c>
      <c r="O21" s="23">
        <f>L21*60*1000</f>
        <v>244.29079415250894</v>
      </c>
      <c r="P21" s="42">
        <f>O21*M21/1000</f>
        <v>78.39193868036351</v>
      </c>
      <c r="R21" s="10"/>
      <c r="S21" s="10"/>
    </row>
    <row r="22" spans="1:19" s="9" customFormat="1" ht="12.75">
      <c r="A22" s="379"/>
      <c r="B22" s="49" t="s">
        <v>870</v>
      </c>
      <c r="C22" s="34">
        <v>40</v>
      </c>
      <c r="D22" s="34" t="s">
        <v>156</v>
      </c>
      <c r="E22" s="229"/>
      <c r="F22" s="50">
        <v>4.043124</v>
      </c>
      <c r="G22" s="50">
        <v>6.17</v>
      </c>
      <c r="H22" s="50">
        <v>9.196559</v>
      </c>
      <c r="I22" s="60">
        <v>2233.8</v>
      </c>
      <c r="J22" s="50">
        <v>9.196559</v>
      </c>
      <c r="K22" s="60">
        <v>2233.8</v>
      </c>
      <c r="L22" s="51">
        <f>J22/K22</f>
        <v>0.004117001969737666</v>
      </c>
      <c r="M22" s="28">
        <v>279.803</v>
      </c>
      <c r="N22" s="62">
        <f>L22*M22</f>
        <v>1.1519495021385082</v>
      </c>
      <c r="O22" s="62">
        <f>L22*60*1000</f>
        <v>247.02011818425999</v>
      </c>
      <c r="P22" s="61">
        <f>O22*M22/1000</f>
        <v>69.1169701283105</v>
      </c>
      <c r="Q22" s="11"/>
      <c r="R22" s="10"/>
      <c r="S22" s="10"/>
    </row>
    <row r="23" spans="1:22" s="9" customFormat="1" ht="12.75" customHeight="1">
      <c r="A23" s="379"/>
      <c r="B23" s="40" t="s">
        <v>482</v>
      </c>
      <c r="C23" s="22">
        <v>36</v>
      </c>
      <c r="D23" s="22" t="s">
        <v>24</v>
      </c>
      <c r="E23" s="50">
        <f>F23+G23+H23</f>
        <v>18.939999999999998</v>
      </c>
      <c r="F23" s="50">
        <v>3.37</v>
      </c>
      <c r="G23" s="50">
        <v>5.87</v>
      </c>
      <c r="H23" s="50">
        <v>9.7</v>
      </c>
      <c r="I23" s="31">
        <v>2305.31</v>
      </c>
      <c r="J23" s="50">
        <v>9.37</v>
      </c>
      <c r="K23" s="31">
        <v>2232.72</v>
      </c>
      <c r="L23" s="51">
        <f>J23/K23</f>
        <v>0.004196674907735856</v>
      </c>
      <c r="M23" s="28">
        <v>206.1</v>
      </c>
      <c r="N23" s="52">
        <f>L23*M23</f>
        <v>0.8649346984843599</v>
      </c>
      <c r="O23" s="52">
        <f>L23*60*1000</f>
        <v>251.80049446415137</v>
      </c>
      <c r="P23" s="53">
        <f>O23*M23/1000</f>
        <v>51.8960819090616</v>
      </c>
      <c r="Q23" s="10"/>
      <c r="R23" s="10"/>
      <c r="S23" s="10"/>
      <c r="T23" s="12"/>
      <c r="U23" s="13"/>
      <c r="V23" s="13"/>
    </row>
    <row r="24" spans="1:26" s="16" customFormat="1" ht="12.75">
      <c r="A24" s="379"/>
      <c r="B24" s="119" t="s">
        <v>310</v>
      </c>
      <c r="C24" s="34">
        <v>45</v>
      </c>
      <c r="D24" s="34">
        <v>1991</v>
      </c>
      <c r="E24" s="72">
        <f>F24+G24+H24</f>
        <v>19.87</v>
      </c>
      <c r="F24" s="72">
        <v>3.88</v>
      </c>
      <c r="G24" s="72">
        <v>6.24</v>
      </c>
      <c r="H24" s="72">
        <v>9.75</v>
      </c>
      <c r="I24" s="68">
        <v>2321.73</v>
      </c>
      <c r="J24" s="72">
        <v>9.75</v>
      </c>
      <c r="K24" s="68">
        <v>2321.73</v>
      </c>
      <c r="L24" s="63">
        <f>J24/K24</f>
        <v>0.004199454716956752</v>
      </c>
      <c r="M24" s="28">
        <v>314.4</v>
      </c>
      <c r="N24" s="62">
        <f>L24*M24</f>
        <v>1.3203085630112026</v>
      </c>
      <c r="O24" s="62">
        <f>L24*60*1000</f>
        <v>251.96728301740512</v>
      </c>
      <c r="P24" s="61">
        <f>O24*M24/1000</f>
        <v>79.21851378067217</v>
      </c>
      <c r="Q24" s="9"/>
      <c r="R24" s="10"/>
      <c r="S24" s="10"/>
      <c r="T24" s="9"/>
      <c r="U24" s="9"/>
      <c r="V24" s="9"/>
      <c r="W24" s="9"/>
      <c r="X24" s="9"/>
      <c r="Y24" s="9"/>
      <c r="Z24" s="9"/>
    </row>
    <row r="25" spans="1:25" s="16" customFormat="1" ht="12.75">
      <c r="A25" s="379"/>
      <c r="B25" s="107" t="s">
        <v>420</v>
      </c>
      <c r="C25" s="34">
        <v>68</v>
      </c>
      <c r="D25" s="34">
        <v>2008</v>
      </c>
      <c r="E25" s="50">
        <v>24.49</v>
      </c>
      <c r="F25" s="50">
        <v>1.735</v>
      </c>
      <c r="G25" s="50">
        <v>5.44</v>
      </c>
      <c r="H25" s="50">
        <v>16.551</v>
      </c>
      <c r="I25" s="28">
        <v>3892.42</v>
      </c>
      <c r="J25" s="50">
        <v>16.551</v>
      </c>
      <c r="K25" s="28">
        <v>3892.42</v>
      </c>
      <c r="L25" s="51">
        <f>J25/K25</f>
        <v>0.004252110512226326</v>
      </c>
      <c r="M25" s="28">
        <v>302.3</v>
      </c>
      <c r="N25" s="52">
        <f>L25*M25</f>
        <v>1.2854130078460184</v>
      </c>
      <c r="O25" s="52">
        <f>L25*60*1000</f>
        <v>255.12663073357962</v>
      </c>
      <c r="P25" s="53">
        <f>O25*M25/1000</f>
        <v>77.12478047076112</v>
      </c>
      <c r="Q25" s="9"/>
      <c r="R25" s="10"/>
      <c r="S25" s="10"/>
      <c r="T25" s="9"/>
      <c r="U25" s="9"/>
      <c r="V25" s="9"/>
      <c r="W25" s="9"/>
      <c r="X25" s="9"/>
      <c r="Y25" s="9"/>
    </row>
    <row r="26" spans="1:26" s="9" customFormat="1" ht="12.75" customHeight="1">
      <c r="A26" s="379"/>
      <c r="B26" s="319" t="s">
        <v>997</v>
      </c>
      <c r="C26" s="288">
        <v>101</v>
      </c>
      <c r="D26" s="289" t="s">
        <v>24</v>
      </c>
      <c r="E26" s="290">
        <v>44.1</v>
      </c>
      <c r="F26" s="290">
        <v>8.97</v>
      </c>
      <c r="G26" s="291">
        <v>16</v>
      </c>
      <c r="H26" s="290">
        <v>19.13</v>
      </c>
      <c r="I26" s="292">
        <v>4440.66</v>
      </c>
      <c r="J26" s="290">
        <v>19.13</v>
      </c>
      <c r="K26" s="292">
        <v>4440.66</v>
      </c>
      <c r="L26" s="63">
        <f>J26/K26</f>
        <v>0.004307918192340778</v>
      </c>
      <c r="M26" s="28">
        <v>269.2</v>
      </c>
      <c r="N26" s="62">
        <f>L26*M26</f>
        <v>1.1596915773781373</v>
      </c>
      <c r="O26" s="62">
        <f>L26*60*1000</f>
        <v>258.47509154044667</v>
      </c>
      <c r="P26" s="61">
        <f>O26*M26/1000</f>
        <v>69.58149464268824</v>
      </c>
      <c r="R26" s="10"/>
      <c r="S26" s="10"/>
      <c r="Z26" s="16"/>
    </row>
    <row r="27" spans="1:19" s="9" customFormat="1" ht="12.75" customHeight="1">
      <c r="A27" s="379"/>
      <c r="B27" s="40" t="s">
        <v>228</v>
      </c>
      <c r="C27" s="22">
        <v>12</v>
      </c>
      <c r="D27" s="22">
        <v>1963</v>
      </c>
      <c r="E27" s="71">
        <v>4.98</v>
      </c>
      <c r="F27" s="71">
        <v>0.76</v>
      </c>
      <c r="G27" s="71">
        <v>1.92</v>
      </c>
      <c r="H27" s="71">
        <f>E27-F27-G27</f>
        <v>2.3000000000000007</v>
      </c>
      <c r="I27" s="31">
        <v>532.45</v>
      </c>
      <c r="J27" s="71">
        <v>2.3</v>
      </c>
      <c r="K27" s="31">
        <v>532.45</v>
      </c>
      <c r="L27" s="41">
        <f>J27/K27</f>
        <v>0.004319654427645788</v>
      </c>
      <c r="M27" s="23">
        <v>264.761</v>
      </c>
      <c r="N27" s="23">
        <f>L27*M27</f>
        <v>1.1436760259179266</v>
      </c>
      <c r="O27" s="23">
        <f>L27*1000*60</f>
        <v>259.1792656587473</v>
      </c>
      <c r="P27" s="42">
        <f>N27*60</f>
        <v>68.6205615550756</v>
      </c>
      <c r="R27" s="10"/>
      <c r="S27" s="10"/>
    </row>
    <row r="28" spans="1:26" s="14" customFormat="1" ht="12.75">
      <c r="A28" s="379"/>
      <c r="B28" s="58" t="s">
        <v>100</v>
      </c>
      <c r="C28" s="59">
        <v>36</v>
      </c>
      <c r="D28" s="22">
        <v>1977</v>
      </c>
      <c r="E28" s="71">
        <f>+F28+G28+H28</f>
        <v>23.407919999999997</v>
      </c>
      <c r="F28" s="73">
        <v>4.99224</v>
      </c>
      <c r="G28" s="73">
        <v>8.64</v>
      </c>
      <c r="H28" s="73">
        <v>9.77568</v>
      </c>
      <c r="I28" s="69">
        <v>2249.59</v>
      </c>
      <c r="J28" s="73">
        <v>9.77568</v>
      </c>
      <c r="K28" s="69">
        <v>2249.59</v>
      </c>
      <c r="L28" s="41">
        <f>+J28/K28</f>
        <v>0.004345538520352597</v>
      </c>
      <c r="M28" s="23">
        <v>338.118</v>
      </c>
      <c r="N28" s="23">
        <f>+L28*M28</f>
        <v>1.4693047934245795</v>
      </c>
      <c r="O28" s="23">
        <f>+L28*60*1000</f>
        <v>260.7323112211558</v>
      </c>
      <c r="P28" s="42">
        <f>+N28*60</f>
        <v>88.15828760547477</v>
      </c>
      <c r="Q28" s="9"/>
      <c r="R28" s="10"/>
      <c r="S28" s="10"/>
      <c r="T28" s="9"/>
      <c r="U28" s="9"/>
      <c r="V28" s="9"/>
      <c r="W28" s="9"/>
      <c r="X28" s="9"/>
      <c r="Y28" s="9"/>
      <c r="Z28" s="9"/>
    </row>
    <row r="29" spans="1:26" s="9" customFormat="1" ht="12.75">
      <c r="A29" s="379"/>
      <c r="B29" s="49" t="s">
        <v>941</v>
      </c>
      <c r="C29" s="34">
        <v>32</v>
      </c>
      <c r="D29" s="34">
        <v>1985</v>
      </c>
      <c r="E29" s="50">
        <v>16.6</v>
      </c>
      <c r="F29" s="50">
        <v>3.79</v>
      </c>
      <c r="G29" s="50">
        <v>5.12</v>
      </c>
      <c r="H29" s="50">
        <v>7.71</v>
      </c>
      <c r="I29" s="60">
        <v>1773.01</v>
      </c>
      <c r="J29" s="50">
        <v>7.71</v>
      </c>
      <c r="K29" s="60">
        <v>1773.01</v>
      </c>
      <c r="L29" s="51">
        <f>J29/K29</f>
        <v>0.004348537233292537</v>
      </c>
      <c r="M29" s="28">
        <v>201.868</v>
      </c>
      <c r="N29" s="52">
        <f>L29*M29</f>
        <v>0.8778305142102978</v>
      </c>
      <c r="O29" s="52">
        <f>L29*60*1000</f>
        <v>260.9122339975522</v>
      </c>
      <c r="P29" s="53">
        <f>O29*M29/1000</f>
        <v>52.66983085261787</v>
      </c>
      <c r="R29" s="10"/>
      <c r="S29" s="10"/>
      <c r="Z29" s="14"/>
    </row>
    <row r="30" spans="1:26" s="14" customFormat="1" ht="11.25" customHeight="1">
      <c r="A30" s="379"/>
      <c r="B30" s="119" t="s">
        <v>416</v>
      </c>
      <c r="C30" s="34">
        <v>120</v>
      </c>
      <c r="D30" s="34">
        <v>1966</v>
      </c>
      <c r="E30" s="50">
        <v>44.906</v>
      </c>
      <c r="F30" s="50">
        <v>7.647</v>
      </c>
      <c r="G30" s="50">
        <v>12</v>
      </c>
      <c r="H30" s="50">
        <f>E30-F30-G30</f>
        <v>25.259</v>
      </c>
      <c r="I30" s="60">
        <v>5780.94</v>
      </c>
      <c r="J30" s="50">
        <f>H30</f>
        <v>25.259</v>
      </c>
      <c r="K30" s="60">
        <f>I30</f>
        <v>5780.94</v>
      </c>
      <c r="L30" s="51">
        <f>J30/K30</f>
        <v>0.0043693586164187835</v>
      </c>
      <c r="M30" s="28">
        <v>279.5</v>
      </c>
      <c r="N30" s="52">
        <f>L30*M30</f>
        <v>1.22123573328905</v>
      </c>
      <c r="O30" s="52">
        <f>L30*60*1000</f>
        <v>262.16151698512704</v>
      </c>
      <c r="P30" s="53">
        <f>O30*M30/1000</f>
        <v>73.274143997343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19" s="9" customFormat="1" ht="12.75">
      <c r="A31" s="379"/>
      <c r="B31" s="49" t="s">
        <v>693</v>
      </c>
      <c r="C31" s="34">
        <v>28</v>
      </c>
      <c r="D31" s="34" t="s">
        <v>24</v>
      </c>
      <c r="E31" s="50">
        <v>12.98</v>
      </c>
      <c r="F31" s="50">
        <v>2.06</v>
      </c>
      <c r="G31" s="50">
        <v>4.08</v>
      </c>
      <c r="H31" s="50">
        <v>6.84</v>
      </c>
      <c r="I31" s="60">
        <v>1538</v>
      </c>
      <c r="J31" s="50">
        <v>6.84</v>
      </c>
      <c r="K31" s="60">
        <v>1538</v>
      </c>
      <c r="L31" s="51">
        <f>J31/K31</f>
        <v>0.004447334200260078</v>
      </c>
      <c r="M31" s="28">
        <v>234.2</v>
      </c>
      <c r="N31" s="62">
        <f>L31*M31</f>
        <v>1.0415656697009104</v>
      </c>
      <c r="O31" s="62">
        <f>L31*60*1000</f>
        <v>266.84005201560467</v>
      </c>
      <c r="P31" s="61">
        <f>O31*M31/1000</f>
        <v>62.493940182054615</v>
      </c>
      <c r="R31" s="10"/>
      <c r="S31" s="10"/>
    </row>
    <row r="32" spans="1:26" s="9" customFormat="1" ht="12.75">
      <c r="A32" s="379"/>
      <c r="B32" s="107" t="s">
        <v>188</v>
      </c>
      <c r="C32" s="34">
        <v>30</v>
      </c>
      <c r="D32" s="34">
        <v>1987</v>
      </c>
      <c r="E32" s="50">
        <v>15.61</v>
      </c>
      <c r="F32" s="50">
        <v>3.7</v>
      </c>
      <c r="G32" s="50">
        <v>4.8</v>
      </c>
      <c r="H32" s="50">
        <v>7.11</v>
      </c>
      <c r="I32" s="28">
        <v>1596.15</v>
      </c>
      <c r="J32" s="50">
        <v>7.11</v>
      </c>
      <c r="K32" s="28">
        <v>1596.15</v>
      </c>
      <c r="L32" s="51">
        <f>J32/K32</f>
        <v>0.004454468564984494</v>
      </c>
      <c r="M32" s="28">
        <v>302.3</v>
      </c>
      <c r="N32" s="52">
        <f>L32*M32</f>
        <v>1.3465858471948124</v>
      </c>
      <c r="O32" s="52">
        <f>L32*60*1000</f>
        <v>267.26811389906965</v>
      </c>
      <c r="P32" s="53">
        <f>O32*M32/1000</f>
        <v>80.79515083168876</v>
      </c>
      <c r="R32" s="10"/>
      <c r="S32" s="10"/>
      <c r="Z32" s="14"/>
    </row>
    <row r="33" spans="1:26" s="14" customFormat="1" ht="12.75" customHeight="1">
      <c r="A33" s="379"/>
      <c r="B33" s="107" t="s">
        <v>187</v>
      </c>
      <c r="C33" s="34">
        <v>75</v>
      </c>
      <c r="D33" s="34">
        <v>1976</v>
      </c>
      <c r="E33" s="50">
        <v>38.13</v>
      </c>
      <c r="F33" s="50">
        <v>8.188</v>
      </c>
      <c r="G33" s="50">
        <v>12</v>
      </c>
      <c r="H33" s="50">
        <v>17.942</v>
      </c>
      <c r="I33" s="28">
        <v>3969.47</v>
      </c>
      <c r="J33" s="50">
        <v>17.942</v>
      </c>
      <c r="K33" s="28">
        <v>3969.47</v>
      </c>
      <c r="L33" s="51">
        <f>J33/K33</f>
        <v>0.004519998891539677</v>
      </c>
      <c r="M33" s="28">
        <v>302.3</v>
      </c>
      <c r="N33" s="52">
        <f>L33*M33</f>
        <v>1.3663956649124445</v>
      </c>
      <c r="O33" s="52">
        <f>L33*60*1000</f>
        <v>271.19993349238064</v>
      </c>
      <c r="P33" s="53">
        <f>O33*M33/1000</f>
        <v>81.98373989474668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9" s="9" customFormat="1" ht="12.75">
      <c r="A34" s="379"/>
      <c r="B34" s="98" t="s">
        <v>78</v>
      </c>
      <c r="C34" s="99">
        <v>60</v>
      </c>
      <c r="D34" s="99">
        <v>1965</v>
      </c>
      <c r="E34" s="100">
        <v>29.428</v>
      </c>
      <c r="F34" s="100">
        <v>7.316001</v>
      </c>
      <c r="G34" s="100">
        <v>9.6</v>
      </c>
      <c r="H34" s="100">
        <v>12.511999</v>
      </c>
      <c r="I34" s="101">
        <v>2700.04</v>
      </c>
      <c r="J34" s="100">
        <v>12.512003</v>
      </c>
      <c r="K34" s="101">
        <v>2700.04</v>
      </c>
      <c r="L34" s="102">
        <f>J34/K34</f>
        <v>0.004634006533236545</v>
      </c>
      <c r="M34" s="99">
        <v>298.66</v>
      </c>
      <c r="N34" s="103">
        <f>L34*M34</f>
        <v>1.3839923912164265</v>
      </c>
      <c r="O34" s="103">
        <f>L34*60*1000</f>
        <v>278.04039199419265</v>
      </c>
      <c r="P34" s="104">
        <f>O34*M34/1000</f>
        <v>83.03954347298557</v>
      </c>
      <c r="R34" s="10"/>
      <c r="S34" s="10"/>
    </row>
    <row r="35" spans="1:26" s="14" customFormat="1" ht="12.75">
      <c r="A35" s="379"/>
      <c r="B35" s="40" t="s">
        <v>25</v>
      </c>
      <c r="C35" s="22">
        <v>52</v>
      </c>
      <c r="D35" s="22">
        <v>2009</v>
      </c>
      <c r="E35" s="71">
        <v>23.991</v>
      </c>
      <c r="F35" s="71">
        <v>7.307916</v>
      </c>
      <c r="G35" s="71">
        <v>4.16</v>
      </c>
      <c r="H35" s="71">
        <v>12.523084</v>
      </c>
      <c r="I35" s="31">
        <v>2687.24</v>
      </c>
      <c r="J35" s="71">
        <v>12.523084999999998</v>
      </c>
      <c r="K35" s="31">
        <v>2687.24</v>
      </c>
      <c r="L35" s="41">
        <f>J35/K35</f>
        <v>0.004660203405724833</v>
      </c>
      <c r="M35" s="22">
        <v>298.66</v>
      </c>
      <c r="N35" s="23">
        <f>L35*M35</f>
        <v>1.3918163491537787</v>
      </c>
      <c r="O35" s="23">
        <f>L35*60*1000</f>
        <v>279.61220434348996</v>
      </c>
      <c r="P35" s="42">
        <f>O35*M35/1000</f>
        <v>83.50898094922672</v>
      </c>
      <c r="Q35" s="9"/>
      <c r="R35" s="10"/>
      <c r="S35" s="10"/>
      <c r="T35" s="9"/>
      <c r="U35" s="9"/>
      <c r="V35" s="9"/>
      <c r="W35" s="9"/>
      <c r="X35" s="9"/>
      <c r="Y35" s="9"/>
      <c r="Z35" s="9"/>
    </row>
    <row r="36" spans="1:26" s="9" customFormat="1" ht="12.75">
      <c r="A36" s="379"/>
      <c r="B36" s="40" t="s">
        <v>248</v>
      </c>
      <c r="C36" s="22">
        <v>60</v>
      </c>
      <c r="D36" s="22">
        <v>1986</v>
      </c>
      <c r="E36" s="71">
        <v>34.33</v>
      </c>
      <c r="F36" s="71">
        <v>7.3</v>
      </c>
      <c r="G36" s="71">
        <v>9.28</v>
      </c>
      <c r="H36" s="71">
        <f>E36-F36-G36</f>
        <v>17.75</v>
      </c>
      <c r="I36" s="31">
        <v>3808.21</v>
      </c>
      <c r="J36" s="71">
        <v>17.75</v>
      </c>
      <c r="K36" s="31">
        <v>3808.21</v>
      </c>
      <c r="L36" s="41">
        <f>J36/K36</f>
        <v>0.004660982456324625</v>
      </c>
      <c r="M36" s="23">
        <v>264.761</v>
      </c>
      <c r="N36" s="23">
        <f>L36*M36</f>
        <v>1.2340463761189642</v>
      </c>
      <c r="O36" s="23">
        <f>L36*1000*60</f>
        <v>279.65894737947747</v>
      </c>
      <c r="P36" s="42">
        <f>N36*60</f>
        <v>74.04278256713785</v>
      </c>
      <c r="R36" s="10"/>
      <c r="S36" s="10"/>
      <c r="Z36" s="14"/>
    </row>
    <row r="37" spans="1:26" s="14" customFormat="1" ht="12.75" customHeight="1">
      <c r="A37" s="379"/>
      <c r="B37" s="107" t="s">
        <v>270</v>
      </c>
      <c r="C37" s="34">
        <v>28</v>
      </c>
      <c r="D37" s="34">
        <v>1991</v>
      </c>
      <c r="E37" s="50">
        <v>15.29</v>
      </c>
      <c r="F37" s="50">
        <v>3.621</v>
      </c>
      <c r="G37" s="50">
        <v>4.56</v>
      </c>
      <c r="H37" s="50">
        <v>7.109</v>
      </c>
      <c r="I37" s="28">
        <v>1509.42</v>
      </c>
      <c r="J37" s="50">
        <v>7.109</v>
      </c>
      <c r="K37" s="28">
        <v>1509.42</v>
      </c>
      <c r="L37" s="51">
        <f>J37/K37</f>
        <v>0.004709756065243603</v>
      </c>
      <c r="M37" s="28">
        <v>302.3</v>
      </c>
      <c r="N37" s="52">
        <f>L37*M37</f>
        <v>1.4237592585231411</v>
      </c>
      <c r="O37" s="52">
        <f>L37*60*1000</f>
        <v>282.5853639146162</v>
      </c>
      <c r="P37" s="53">
        <f>O37*M37/1000</f>
        <v>85.42555551138848</v>
      </c>
      <c r="Q37" s="9"/>
      <c r="R37" s="10"/>
      <c r="S37" s="10"/>
      <c r="T37" s="9"/>
      <c r="U37" s="9"/>
      <c r="V37" s="9"/>
      <c r="W37" s="9"/>
      <c r="X37" s="9"/>
      <c r="Y37" s="9"/>
      <c r="Z37" s="9"/>
    </row>
    <row r="38" spans="1:25" s="14" customFormat="1" ht="12.75">
      <c r="A38" s="379"/>
      <c r="B38" s="40" t="s">
        <v>161</v>
      </c>
      <c r="C38" s="22">
        <v>55</v>
      </c>
      <c r="D38" s="22">
        <v>1966</v>
      </c>
      <c r="E38" s="71">
        <v>26.2</v>
      </c>
      <c r="F38" s="71">
        <v>5.25</v>
      </c>
      <c r="G38" s="71">
        <v>8.8</v>
      </c>
      <c r="H38" s="71">
        <f>E38-F38-G38</f>
        <v>12.149999999999999</v>
      </c>
      <c r="I38" s="31">
        <v>2564.02</v>
      </c>
      <c r="J38" s="71">
        <v>12.15</v>
      </c>
      <c r="K38" s="31">
        <v>2564.02</v>
      </c>
      <c r="L38" s="41">
        <f>J38/K38</f>
        <v>0.0047386525846132245</v>
      </c>
      <c r="M38" s="23">
        <v>264.761</v>
      </c>
      <c r="N38" s="23">
        <f>L38*M38</f>
        <v>1.254610396954782</v>
      </c>
      <c r="O38" s="23">
        <f>L38*1000*60</f>
        <v>284.3191550767935</v>
      </c>
      <c r="P38" s="42">
        <f>N38*60</f>
        <v>75.27662381728692</v>
      </c>
      <c r="Q38" s="9"/>
      <c r="R38" s="10"/>
      <c r="S38" s="10"/>
      <c r="T38" s="9"/>
      <c r="U38" s="9"/>
      <c r="V38" s="9"/>
      <c r="W38" s="9"/>
      <c r="X38" s="9"/>
      <c r="Y38" s="9"/>
    </row>
    <row r="39" spans="1:19" s="9" customFormat="1" ht="12.75">
      <c r="A39" s="379"/>
      <c r="B39" s="58" t="s">
        <v>101</v>
      </c>
      <c r="C39" s="59">
        <v>30</v>
      </c>
      <c r="D39" s="22">
        <v>1973</v>
      </c>
      <c r="E39" s="71">
        <f>+F39+G39+H39</f>
        <v>16.386995</v>
      </c>
      <c r="F39" s="73">
        <v>4.0851</v>
      </c>
      <c r="G39" s="73">
        <v>4.8</v>
      </c>
      <c r="H39" s="73">
        <v>7.501894999999999</v>
      </c>
      <c r="I39" s="69">
        <v>1569.45</v>
      </c>
      <c r="J39" s="73">
        <v>7.501894999999999</v>
      </c>
      <c r="K39" s="69">
        <v>1569.45</v>
      </c>
      <c r="L39" s="41">
        <f>+J39/K39</f>
        <v>0.004779951575392653</v>
      </c>
      <c r="M39" s="23">
        <v>338.118</v>
      </c>
      <c r="N39" s="23">
        <f>+L39*M39</f>
        <v>1.616187666768613</v>
      </c>
      <c r="O39" s="23">
        <f>+L39*60*1000</f>
        <v>286.79709452355917</v>
      </c>
      <c r="P39" s="42">
        <f>+N39*60</f>
        <v>96.97126000611678</v>
      </c>
      <c r="Q39" s="11"/>
      <c r="R39" s="10"/>
      <c r="S39" s="10"/>
    </row>
    <row r="40" spans="1:26" s="9" customFormat="1" ht="12.75">
      <c r="A40" s="379"/>
      <c r="B40" s="58" t="s">
        <v>97</v>
      </c>
      <c r="C40" s="59">
        <v>10</v>
      </c>
      <c r="D40" s="22">
        <v>2008</v>
      </c>
      <c r="E40" s="71">
        <f>+F40+G40+H40</f>
        <v>4.248749999999999</v>
      </c>
      <c r="F40" s="73">
        <v>1.55672</v>
      </c>
      <c r="G40" s="73">
        <v>0.02803</v>
      </c>
      <c r="H40" s="73">
        <v>2.6639999999999997</v>
      </c>
      <c r="I40" s="69">
        <v>1122.7</v>
      </c>
      <c r="J40" s="73">
        <v>2.6639999999999997</v>
      </c>
      <c r="K40" s="69">
        <v>552.87</v>
      </c>
      <c r="L40" s="41">
        <f>+J40/K40</f>
        <v>0.004818492593195506</v>
      </c>
      <c r="M40" s="23">
        <v>338.118</v>
      </c>
      <c r="N40" s="23">
        <f>+L40*M40</f>
        <v>1.6292190786260783</v>
      </c>
      <c r="O40" s="23">
        <f>+L40*60*1000</f>
        <v>289.1095555917304</v>
      </c>
      <c r="P40" s="42">
        <f>+N40*60</f>
        <v>97.7531447175647</v>
      </c>
      <c r="Q40" s="10"/>
      <c r="R40" s="10"/>
      <c r="S40" s="10"/>
      <c r="T40" s="12"/>
      <c r="U40" s="13"/>
      <c r="V40" s="13"/>
      <c r="Z40" s="14"/>
    </row>
    <row r="41" spans="1:26" s="9" customFormat="1" ht="12.75">
      <c r="A41" s="379"/>
      <c r="B41" s="49" t="s">
        <v>475</v>
      </c>
      <c r="C41" s="34">
        <v>45</v>
      </c>
      <c r="D41" s="34">
        <v>1990</v>
      </c>
      <c r="E41" s="50">
        <f>F41+G41+H41</f>
        <v>23.683</v>
      </c>
      <c r="F41" s="50">
        <v>4.965</v>
      </c>
      <c r="G41" s="50">
        <v>7.2</v>
      </c>
      <c r="H41" s="50">
        <v>11.518</v>
      </c>
      <c r="I41" s="60">
        <v>2333.65</v>
      </c>
      <c r="J41" s="50">
        <f>H41</f>
        <v>11.518</v>
      </c>
      <c r="K41" s="60">
        <f>I41</f>
        <v>2333.65</v>
      </c>
      <c r="L41" s="51">
        <f>J41/K41</f>
        <v>0.004935615880701905</v>
      </c>
      <c r="M41" s="28">
        <v>206.9</v>
      </c>
      <c r="N41" s="62">
        <f>L41*M41</f>
        <v>1.0211789257172241</v>
      </c>
      <c r="O41" s="62">
        <f>L41*60*1000</f>
        <v>296.1369528421143</v>
      </c>
      <c r="P41" s="61">
        <f>O41*M41/1000</f>
        <v>61.27073554303345</v>
      </c>
      <c r="R41" s="10"/>
      <c r="S41" s="10"/>
      <c r="Z41" s="14"/>
    </row>
    <row r="42" spans="1:16" s="9" customFormat="1" ht="12.75" customHeight="1">
      <c r="A42" s="379"/>
      <c r="B42" s="319" t="s">
        <v>998</v>
      </c>
      <c r="C42" s="288">
        <v>45</v>
      </c>
      <c r="D42" s="289" t="s">
        <v>24</v>
      </c>
      <c r="E42" s="290">
        <v>23.82</v>
      </c>
      <c r="F42" s="290">
        <v>5.02</v>
      </c>
      <c r="G42" s="291">
        <v>7.2</v>
      </c>
      <c r="H42" s="290">
        <v>11.6</v>
      </c>
      <c r="I42" s="292">
        <v>2319.88</v>
      </c>
      <c r="J42" s="290">
        <v>11.6</v>
      </c>
      <c r="K42" s="292">
        <v>2319.88</v>
      </c>
      <c r="L42" s="63">
        <f>J42/K42</f>
        <v>0.005000258634067279</v>
      </c>
      <c r="M42" s="28">
        <v>269.2</v>
      </c>
      <c r="N42" s="62">
        <f>L42*M42</f>
        <v>1.3460696242909116</v>
      </c>
      <c r="O42" s="62">
        <f>L42*60*1000</f>
        <v>300.01551804403675</v>
      </c>
      <c r="P42" s="61">
        <f>O42*M42/1000</f>
        <v>80.7641774574547</v>
      </c>
    </row>
    <row r="43" spans="1:22" s="9" customFormat="1" ht="12.75">
      <c r="A43" s="379"/>
      <c r="B43" s="58" t="s">
        <v>191</v>
      </c>
      <c r="C43" s="59">
        <v>29</v>
      </c>
      <c r="D43" s="22">
        <v>2007</v>
      </c>
      <c r="E43" s="71">
        <f>+F43+G43+H43</f>
        <v>15.763828</v>
      </c>
      <c r="F43" s="73">
        <v>4.407128</v>
      </c>
      <c r="G43" s="73">
        <v>2.32</v>
      </c>
      <c r="H43" s="73">
        <v>9.0367</v>
      </c>
      <c r="I43" s="69">
        <v>3616.71</v>
      </c>
      <c r="J43" s="73">
        <v>9.0367</v>
      </c>
      <c r="K43" s="69">
        <v>1796.56</v>
      </c>
      <c r="L43" s="41">
        <f>+J43/K43</f>
        <v>0.005030001781181814</v>
      </c>
      <c r="M43" s="23">
        <v>338.118</v>
      </c>
      <c r="N43" s="23">
        <f>+L43*M43</f>
        <v>1.7007341422496325</v>
      </c>
      <c r="O43" s="23">
        <f>+L43*60*1000</f>
        <v>301.8001068709088</v>
      </c>
      <c r="P43" s="42">
        <f>+N43*60</f>
        <v>102.04404853497795</v>
      </c>
      <c r="Q43" s="10"/>
      <c r="R43" s="10"/>
      <c r="S43" s="10"/>
      <c r="T43" s="12"/>
      <c r="U43" s="13"/>
      <c r="V43" s="13"/>
    </row>
    <row r="44" spans="1:19" s="9" customFormat="1" ht="12.75">
      <c r="A44" s="379"/>
      <c r="B44" s="58" t="s">
        <v>190</v>
      </c>
      <c r="C44" s="59">
        <v>55</v>
      </c>
      <c r="D44" s="22">
        <v>1967</v>
      </c>
      <c r="E44" s="71">
        <f>+F44+G44+H44</f>
        <v>27.505003000000002</v>
      </c>
      <c r="F44" s="73">
        <v>5.6364</v>
      </c>
      <c r="G44" s="73">
        <v>8.8</v>
      </c>
      <c r="H44" s="73">
        <v>13.068603000000001</v>
      </c>
      <c r="I44" s="69">
        <v>2582.18</v>
      </c>
      <c r="J44" s="73">
        <v>13.068603000000001</v>
      </c>
      <c r="K44" s="69">
        <v>2582.18</v>
      </c>
      <c r="L44" s="41">
        <f>+J44/K44</f>
        <v>0.005061073588982953</v>
      </c>
      <c r="M44" s="23">
        <v>338.118</v>
      </c>
      <c r="N44" s="23">
        <f>+L44*M44</f>
        <v>1.711240079759738</v>
      </c>
      <c r="O44" s="23">
        <f>+L44*60*1000</f>
        <v>303.66441533897716</v>
      </c>
      <c r="P44" s="42">
        <f>+N44*60</f>
        <v>102.67440478558429</v>
      </c>
      <c r="Q44" s="11"/>
      <c r="R44" s="10"/>
      <c r="S44" s="10"/>
    </row>
    <row r="45" spans="1:26" s="14" customFormat="1" ht="12.75" customHeight="1">
      <c r="A45" s="379"/>
      <c r="B45" s="320" t="s">
        <v>999</v>
      </c>
      <c r="C45" s="288">
        <v>45</v>
      </c>
      <c r="D45" s="289" t="s">
        <v>24</v>
      </c>
      <c r="E45" s="290">
        <v>23.73</v>
      </c>
      <c r="F45" s="290">
        <v>4.76</v>
      </c>
      <c r="G45" s="291">
        <v>7.2</v>
      </c>
      <c r="H45" s="290">
        <v>11.77</v>
      </c>
      <c r="I45" s="292">
        <v>2313.86</v>
      </c>
      <c r="J45" s="290">
        <v>11.77</v>
      </c>
      <c r="K45" s="292">
        <v>2313.86</v>
      </c>
      <c r="L45" s="63">
        <f>J45/K45</f>
        <v>0.005086738177763564</v>
      </c>
      <c r="M45" s="28">
        <v>269.2</v>
      </c>
      <c r="N45" s="62">
        <f>L45*M45</f>
        <v>1.3693499174539514</v>
      </c>
      <c r="O45" s="62">
        <f>L45*60*1000</f>
        <v>305.20429066581386</v>
      </c>
      <c r="P45" s="61">
        <f>O45*M45/1000</f>
        <v>82.16099504723708</v>
      </c>
      <c r="Q45" s="9"/>
      <c r="R45" s="10"/>
      <c r="S45" s="10"/>
      <c r="T45" s="9"/>
      <c r="U45" s="9"/>
      <c r="V45" s="9"/>
      <c r="W45" s="9"/>
      <c r="X45" s="9"/>
      <c r="Y45" s="9"/>
      <c r="Z45" s="9"/>
    </row>
    <row r="46" spans="1:26" s="14" customFormat="1" ht="12.75" customHeight="1">
      <c r="A46" s="379"/>
      <c r="B46" s="58" t="s">
        <v>189</v>
      </c>
      <c r="C46" s="59">
        <v>71</v>
      </c>
      <c r="D46" s="22">
        <v>1974</v>
      </c>
      <c r="E46" s="71">
        <f>+F46+G46+H46</f>
        <v>37.494917</v>
      </c>
      <c r="F46" s="73">
        <v>7.724552</v>
      </c>
      <c r="G46" s="73">
        <v>11.200000000000001</v>
      </c>
      <c r="H46" s="73">
        <v>18.570365</v>
      </c>
      <c r="I46" s="69">
        <v>3773.31</v>
      </c>
      <c r="J46" s="73">
        <v>18.570365</v>
      </c>
      <c r="K46" s="69">
        <v>3648.6800000000003</v>
      </c>
      <c r="L46" s="41">
        <f>+J46/K46</f>
        <v>0.005089611859631428</v>
      </c>
      <c r="M46" s="23">
        <v>338.118</v>
      </c>
      <c r="N46" s="23">
        <f>+L46*M46</f>
        <v>1.720889382754859</v>
      </c>
      <c r="O46" s="23">
        <f>+L46*60*1000</f>
        <v>305.37671157788566</v>
      </c>
      <c r="P46" s="42">
        <f>+N46*60</f>
        <v>103.25336296529154</v>
      </c>
      <c r="Q46" s="10"/>
      <c r="R46" s="10"/>
      <c r="S46" s="10"/>
      <c r="T46" s="12"/>
      <c r="U46" s="13"/>
      <c r="V46" s="13"/>
      <c r="W46" s="9"/>
      <c r="X46" s="9"/>
      <c r="Y46" s="9"/>
      <c r="Z46" s="9"/>
    </row>
    <row r="47" spans="1:19" s="9" customFormat="1" ht="12.75">
      <c r="A47" s="379"/>
      <c r="B47" s="49" t="s">
        <v>400</v>
      </c>
      <c r="C47" s="34">
        <v>51</v>
      </c>
      <c r="D47" s="34" t="s">
        <v>249</v>
      </c>
      <c r="E47" s="50">
        <v>25.3</v>
      </c>
      <c r="F47" s="50">
        <v>4.328</v>
      </c>
      <c r="G47" s="50">
        <v>7.84</v>
      </c>
      <c r="H47" s="50">
        <v>13.232</v>
      </c>
      <c r="I47" s="60">
        <v>2586.98</v>
      </c>
      <c r="J47" s="50">
        <v>13.2</v>
      </c>
      <c r="K47" s="60">
        <v>2587</v>
      </c>
      <c r="L47" s="51">
        <f>J47/K47</f>
        <v>0.005102435253189022</v>
      </c>
      <c r="M47" s="28">
        <v>224.1</v>
      </c>
      <c r="N47" s="52">
        <f>L47*M47</f>
        <v>1.1434557402396597</v>
      </c>
      <c r="O47" s="52">
        <f>L47*60*1000</f>
        <v>306.14611519134127</v>
      </c>
      <c r="P47" s="53">
        <f>O47*M47/1000</f>
        <v>68.60734441437958</v>
      </c>
      <c r="R47" s="10"/>
      <c r="S47" s="10"/>
    </row>
    <row r="48" spans="1:19" s="9" customFormat="1" ht="13.5" customHeight="1">
      <c r="A48" s="379"/>
      <c r="B48" s="40" t="s">
        <v>162</v>
      </c>
      <c r="C48" s="22">
        <v>12</v>
      </c>
      <c r="D48" s="22">
        <v>1962</v>
      </c>
      <c r="E48" s="71">
        <v>5.4</v>
      </c>
      <c r="F48" s="71">
        <v>0.72</v>
      </c>
      <c r="G48" s="71">
        <v>1.92</v>
      </c>
      <c r="H48" s="71">
        <f>E48-F48-G48</f>
        <v>2.7600000000000007</v>
      </c>
      <c r="I48" s="31">
        <v>533.7</v>
      </c>
      <c r="J48" s="71">
        <v>2.76</v>
      </c>
      <c r="K48" s="31">
        <v>533.7</v>
      </c>
      <c r="L48" s="41">
        <f>J48/K48</f>
        <v>0.005171444631815626</v>
      </c>
      <c r="M48" s="23">
        <v>264.761</v>
      </c>
      <c r="N48" s="23">
        <f>L48*M48</f>
        <v>1.3691968521641371</v>
      </c>
      <c r="O48" s="23">
        <f>L48*1000*60</f>
        <v>310.2866779089375</v>
      </c>
      <c r="P48" s="42">
        <f>N48*60</f>
        <v>82.15181112984823</v>
      </c>
      <c r="R48" s="10"/>
      <c r="S48" s="10"/>
    </row>
    <row r="49" spans="1:26" s="9" customFormat="1" ht="12.75" customHeight="1">
      <c r="A49" s="379"/>
      <c r="B49" s="49" t="s">
        <v>409</v>
      </c>
      <c r="C49" s="34">
        <v>15</v>
      </c>
      <c r="D49" s="34">
        <v>2006</v>
      </c>
      <c r="E49" s="50">
        <v>8.69</v>
      </c>
      <c r="F49" s="50">
        <v>1.73</v>
      </c>
      <c r="G49" s="50">
        <v>1.2</v>
      </c>
      <c r="H49" s="50">
        <v>5.76</v>
      </c>
      <c r="I49" s="229"/>
      <c r="J49" s="50">
        <f>H49</f>
        <v>5.76</v>
      </c>
      <c r="K49" s="60">
        <v>1104</v>
      </c>
      <c r="L49" s="51">
        <f>J49/K49</f>
        <v>0.005217391304347826</v>
      </c>
      <c r="M49" s="28">
        <v>187.69</v>
      </c>
      <c r="N49" s="62">
        <f>L49*M49</f>
        <v>0.9792521739130434</v>
      </c>
      <c r="O49" s="62">
        <f>L49*60*1000</f>
        <v>313.0434782608695</v>
      </c>
      <c r="P49" s="61">
        <f>O49*M49/1000</f>
        <v>58.75513043478259</v>
      </c>
      <c r="R49" s="10"/>
      <c r="S49" s="10"/>
      <c r="Z49" s="14"/>
    </row>
    <row r="50" spans="1:19" s="9" customFormat="1" ht="12.75">
      <c r="A50" s="379"/>
      <c r="B50" s="320" t="s">
        <v>1000</v>
      </c>
      <c r="C50" s="288">
        <v>61</v>
      </c>
      <c r="D50" s="289" t="s">
        <v>24</v>
      </c>
      <c r="E50" s="290">
        <v>29.48</v>
      </c>
      <c r="F50" s="290">
        <v>5.58</v>
      </c>
      <c r="G50" s="291">
        <v>9.6</v>
      </c>
      <c r="H50" s="290">
        <v>14.3</v>
      </c>
      <c r="I50" s="292">
        <v>2737.01</v>
      </c>
      <c r="J50" s="290">
        <v>14.3</v>
      </c>
      <c r="K50" s="292">
        <v>2737.01</v>
      </c>
      <c r="L50" s="63">
        <f>J50/K50</f>
        <v>0.005224679486008454</v>
      </c>
      <c r="M50" s="28">
        <v>269.2</v>
      </c>
      <c r="N50" s="62">
        <f>L50*M50</f>
        <v>1.406483717633476</v>
      </c>
      <c r="O50" s="62">
        <f>L50*60*1000</f>
        <v>313.4807691605073</v>
      </c>
      <c r="P50" s="61">
        <f>O50*M50/1000</f>
        <v>84.38902305800856</v>
      </c>
      <c r="R50" s="10"/>
      <c r="S50" s="10"/>
    </row>
    <row r="51" spans="1:19" s="9" customFormat="1" ht="12.75">
      <c r="A51" s="379"/>
      <c r="B51" s="49" t="s">
        <v>562</v>
      </c>
      <c r="C51" s="34">
        <v>90</v>
      </c>
      <c r="D51" s="34">
        <v>1970</v>
      </c>
      <c r="E51" s="50">
        <v>43.928</v>
      </c>
      <c r="F51" s="50">
        <v>11.01685</v>
      </c>
      <c r="G51" s="50">
        <v>8.97</v>
      </c>
      <c r="H51" s="50">
        <f>E51-F51-G51</f>
        <v>23.94115</v>
      </c>
      <c r="I51" s="60">
        <v>4523.53</v>
      </c>
      <c r="J51" s="50">
        <f>H51</f>
        <v>23.94115</v>
      </c>
      <c r="K51" s="60">
        <f>I51</f>
        <v>4523.53</v>
      </c>
      <c r="L51" s="51">
        <f>J51/K51</f>
        <v>0.00529258123633534</v>
      </c>
      <c r="M51" s="28">
        <v>279.5</v>
      </c>
      <c r="N51" s="52">
        <f>L51*M51</f>
        <v>1.4792764555557276</v>
      </c>
      <c r="O51" s="52">
        <f>L51*60*1000</f>
        <v>317.5548741801204</v>
      </c>
      <c r="P51" s="53">
        <f>O51*M51/1000</f>
        <v>88.75658733334365</v>
      </c>
      <c r="R51" s="10"/>
      <c r="S51" s="10"/>
    </row>
    <row r="52" spans="1:19" s="9" customFormat="1" ht="12.75">
      <c r="A52" s="379"/>
      <c r="B52" s="40" t="s">
        <v>80</v>
      </c>
      <c r="C52" s="22">
        <v>58</v>
      </c>
      <c r="D52" s="22">
        <v>2007</v>
      </c>
      <c r="E52" s="71">
        <v>35.856</v>
      </c>
      <c r="F52" s="71">
        <v>10.367841</v>
      </c>
      <c r="G52" s="71">
        <v>4.64</v>
      </c>
      <c r="H52" s="71">
        <v>20.848159000000003</v>
      </c>
      <c r="I52" s="31">
        <v>3796.56</v>
      </c>
      <c r="J52" s="71">
        <v>20.848162000000002</v>
      </c>
      <c r="K52" s="31">
        <v>3796.56</v>
      </c>
      <c r="L52" s="41">
        <f>J52/K52</f>
        <v>0.005491329519354364</v>
      </c>
      <c r="M52" s="22">
        <v>298.66</v>
      </c>
      <c r="N52" s="23">
        <f>L52*M52</f>
        <v>1.6400404742503745</v>
      </c>
      <c r="O52" s="23">
        <f>L52*60*1000</f>
        <v>329.4797711612618</v>
      </c>
      <c r="P52" s="42">
        <f>O52*M52/1000</f>
        <v>98.40242845502246</v>
      </c>
      <c r="R52" s="10"/>
      <c r="S52" s="10"/>
    </row>
    <row r="53" spans="1:19" s="9" customFormat="1" ht="12.75">
      <c r="A53" s="379"/>
      <c r="B53" s="319" t="s">
        <v>1001</v>
      </c>
      <c r="C53" s="288">
        <v>78</v>
      </c>
      <c r="D53" s="289" t="s">
        <v>24</v>
      </c>
      <c r="E53" s="290">
        <v>42.5</v>
      </c>
      <c r="F53" s="290">
        <v>7.89</v>
      </c>
      <c r="G53" s="291">
        <v>12.8</v>
      </c>
      <c r="H53" s="290">
        <v>20.97</v>
      </c>
      <c r="I53" s="292">
        <v>3899.32</v>
      </c>
      <c r="J53" s="290">
        <v>20.97</v>
      </c>
      <c r="K53" s="292">
        <v>3799.48</v>
      </c>
      <c r="L53" s="63">
        <f>J53/K53</f>
        <v>0.00551917630833693</v>
      </c>
      <c r="M53" s="28">
        <v>269.2</v>
      </c>
      <c r="N53" s="62">
        <f>L53*M53</f>
        <v>1.4857622622043016</v>
      </c>
      <c r="O53" s="62">
        <f>L53*60*1000</f>
        <v>331.15057850021583</v>
      </c>
      <c r="P53" s="61">
        <f>O53*M53/1000</f>
        <v>89.14573573225809</v>
      </c>
      <c r="R53" s="10"/>
      <c r="S53" s="10"/>
    </row>
    <row r="54" spans="1:19" s="9" customFormat="1" ht="12.75" customHeight="1">
      <c r="A54" s="379"/>
      <c r="B54" s="40" t="s">
        <v>160</v>
      </c>
      <c r="C54" s="22">
        <v>24</v>
      </c>
      <c r="D54" s="22">
        <v>1991</v>
      </c>
      <c r="E54" s="71">
        <v>12.3</v>
      </c>
      <c r="F54" s="71">
        <v>2.03</v>
      </c>
      <c r="G54" s="71">
        <v>3.84</v>
      </c>
      <c r="H54" s="71">
        <f>E54-F54-G54</f>
        <v>6.4300000000000015</v>
      </c>
      <c r="I54" s="31">
        <v>1163.97</v>
      </c>
      <c r="J54" s="71">
        <v>6.43</v>
      </c>
      <c r="K54" s="31">
        <v>1163.97</v>
      </c>
      <c r="L54" s="41">
        <f>J54/K54</f>
        <v>0.005524197359038463</v>
      </c>
      <c r="M54" s="23">
        <v>264.761</v>
      </c>
      <c r="N54" s="23">
        <f>L54*M54</f>
        <v>1.4625920169763826</v>
      </c>
      <c r="O54" s="23">
        <f>L54*1000*60</f>
        <v>331.45184154230776</v>
      </c>
      <c r="P54" s="42">
        <f>N54*60</f>
        <v>87.75552101858295</v>
      </c>
      <c r="R54" s="10"/>
      <c r="S54" s="10"/>
    </row>
    <row r="55" spans="1:19" s="9" customFormat="1" ht="12.75" customHeight="1">
      <c r="A55" s="379"/>
      <c r="B55" s="40" t="s">
        <v>155</v>
      </c>
      <c r="C55" s="22">
        <v>22</v>
      </c>
      <c r="D55" s="22">
        <v>2009</v>
      </c>
      <c r="E55" s="71">
        <f>F55+G55+H55</f>
        <v>15.9246</v>
      </c>
      <c r="F55" s="71">
        <v>2.8025</v>
      </c>
      <c r="G55" s="71">
        <v>1.76</v>
      </c>
      <c r="H55" s="71">
        <v>11.3621</v>
      </c>
      <c r="I55" s="31">
        <v>2046.35</v>
      </c>
      <c r="J55" s="71">
        <v>11.3621</v>
      </c>
      <c r="K55" s="31">
        <v>2046.35</v>
      </c>
      <c r="L55" s="41">
        <f>J55/K55</f>
        <v>0.005552373738607765</v>
      </c>
      <c r="M55" s="23">
        <v>210</v>
      </c>
      <c r="N55" s="23">
        <f>L55*M55</f>
        <v>1.1659984851076308</v>
      </c>
      <c r="O55" s="23">
        <f>L55*1000*60</f>
        <v>333.1424243164659</v>
      </c>
      <c r="P55" s="42">
        <f>N55*60</f>
        <v>69.95990910645784</v>
      </c>
      <c r="R55" s="10"/>
      <c r="S55" s="10"/>
    </row>
    <row r="56" spans="1:19" s="9" customFormat="1" ht="12.75">
      <c r="A56" s="379"/>
      <c r="B56" s="40" t="s">
        <v>79</v>
      </c>
      <c r="C56" s="22">
        <v>64</v>
      </c>
      <c r="D56" s="22">
        <v>2006</v>
      </c>
      <c r="E56" s="71">
        <v>35.1</v>
      </c>
      <c r="F56" s="71">
        <v>11.428375</v>
      </c>
      <c r="G56" s="71">
        <v>5.12</v>
      </c>
      <c r="H56" s="71">
        <v>18.551626</v>
      </c>
      <c r="I56" s="31">
        <v>3331.47</v>
      </c>
      <c r="J56" s="71">
        <v>18.551625</v>
      </c>
      <c r="K56" s="31">
        <v>3331.47</v>
      </c>
      <c r="L56" s="41">
        <f>J56/K56</f>
        <v>0.005568600347594306</v>
      </c>
      <c r="M56" s="22">
        <v>298.66</v>
      </c>
      <c r="N56" s="23">
        <f>L56*M56</f>
        <v>1.6631181798125154</v>
      </c>
      <c r="O56" s="23">
        <f>L56*60*1000</f>
        <v>334.11602085565835</v>
      </c>
      <c r="P56" s="42">
        <f>O56*M56/1000</f>
        <v>99.78709078875093</v>
      </c>
      <c r="Q56" s="11"/>
      <c r="R56" s="10"/>
      <c r="S56" s="10"/>
    </row>
    <row r="57" spans="1:19" s="9" customFormat="1" ht="12.75" customHeight="1">
      <c r="A57" s="379"/>
      <c r="B57" s="49" t="s">
        <v>212</v>
      </c>
      <c r="C57" s="34">
        <v>23</v>
      </c>
      <c r="D57" s="34">
        <v>2007</v>
      </c>
      <c r="E57" s="72">
        <v>20.512</v>
      </c>
      <c r="F57" s="50">
        <v>2.93709</v>
      </c>
      <c r="G57" s="50">
        <v>3.02801</v>
      </c>
      <c r="H57" s="72">
        <v>14.5469</v>
      </c>
      <c r="I57" s="68">
        <v>2693.44</v>
      </c>
      <c r="J57" s="72">
        <v>12.05</v>
      </c>
      <c r="K57" s="68">
        <v>2155.86</v>
      </c>
      <c r="L57" s="63">
        <f>J57/K57</f>
        <v>0.005589416752479289</v>
      </c>
      <c r="M57" s="28">
        <v>328.526</v>
      </c>
      <c r="N57" s="62">
        <f>L57*M57</f>
        <v>1.836268728025011</v>
      </c>
      <c r="O57" s="62">
        <f>L57*60*1000</f>
        <v>335.36500514875735</v>
      </c>
      <c r="P57" s="61">
        <f>O57*M57/1000</f>
        <v>110.17612368150066</v>
      </c>
      <c r="Q57" s="11"/>
      <c r="R57" s="10"/>
      <c r="S57" s="10"/>
    </row>
    <row r="58" spans="1:19" s="9" customFormat="1" ht="12.75" customHeight="1">
      <c r="A58" s="379"/>
      <c r="B58" s="119" t="s">
        <v>115</v>
      </c>
      <c r="C58" s="34">
        <v>54</v>
      </c>
      <c r="D58" s="34">
        <v>2008</v>
      </c>
      <c r="E58" s="72">
        <v>28.87</v>
      </c>
      <c r="F58" s="72">
        <v>4.49</v>
      </c>
      <c r="G58" s="72">
        <v>3.03</v>
      </c>
      <c r="H58" s="72">
        <v>21.35</v>
      </c>
      <c r="I58" s="68">
        <v>3786.21</v>
      </c>
      <c r="J58" s="72">
        <v>9.372</v>
      </c>
      <c r="K58" s="68">
        <v>2030.27</v>
      </c>
      <c r="L58" s="63">
        <v>0.0056388</v>
      </c>
      <c r="M58" s="28">
        <v>277.1</v>
      </c>
      <c r="N58" s="62">
        <f>L58*M58*1.09</f>
        <v>1.7031375132000004</v>
      </c>
      <c r="O58" s="62">
        <f>L58*60*1000</f>
        <v>338.32800000000003</v>
      </c>
      <c r="P58" s="61">
        <f>O58*M58/1000</f>
        <v>93.75068880000002</v>
      </c>
      <c r="R58" s="10"/>
      <c r="S58" s="10"/>
    </row>
    <row r="59" spans="1:19" s="9" customFormat="1" ht="12.75">
      <c r="A59" s="379"/>
      <c r="B59" s="40" t="s">
        <v>53</v>
      </c>
      <c r="C59" s="22">
        <v>60</v>
      </c>
      <c r="D59" s="22">
        <v>2005</v>
      </c>
      <c r="E59" s="71">
        <v>43.16</v>
      </c>
      <c r="F59" s="71">
        <v>10.36</v>
      </c>
      <c r="G59" s="71">
        <v>4.96</v>
      </c>
      <c r="H59" s="71">
        <f>E59-F59-G59</f>
        <v>27.839999999999996</v>
      </c>
      <c r="I59" s="31">
        <v>4933.5</v>
      </c>
      <c r="J59" s="71">
        <f>H59/I59*K59</f>
        <v>27.013292794162357</v>
      </c>
      <c r="K59" s="22">
        <v>4787</v>
      </c>
      <c r="L59" s="41">
        <f>J59/K59</f>
        <v>0.005643052599574338</v>
      </c>
      <c r="M59" s="138">
        <f>294.4*1.09</f>
        <v>320.896</v>
      </c>
      <c r="N59" s="23">
        <f>L59*M59</f>
        <v>1.810833006993007</v>
      </c>
      <c r="O59" s="23">
        <f>L59*60*1000</f>
        <v>338.5831559744603</v>
      </c>
      <c r="P59" s="42">
        <f>O59*M59/1000</f>
        <v>108.64998041958042</v>
      </c>
      <c r="R59" s="10"/>
      <c r="S59" s="10"/>
    </row>
    <row r="60" spans="1:19" s="9" customFormat="1" ht="12.75">
      <c r="A60" s="379"/>
      <c r="B60" s="58" t="s">
        <v>99</v>
      </c>
      <c r="C60" s="59">
        <v>20</v>
      </c>
      <c r="D60" s="22">
        <v>1976</v>
      </c>
      <c r="E60" s="71">
        <f>+F60+G60+H60</f>
        <v>16.416</v>
      </c>
      <c r="F60" s="73">
        <v>3.4782</v>
      </c>
      <c r="G60" s="73">
        <v>3.04</v>
      </c>
      <c r="H60" s="73">
        <v>9.8978</v>
      </c>
      <c r="I60" s="69">
        <v>1720.29</v>
      </c>
      <c r="J60" s="73">
        <v>9.8978</v>
      </c>
      <c r="K60" s="69">
        <v>1720.29</v>
      </c>
      <c r="L60" s="41">
        <f>+J60/K60</f>
        <v>0.005753564805933883</v>
      </c>
      <c r="M60" s="23">
        <v>333.213</v>
      </c>
      <c r="N60" s="23">
        <f>+L60*M60</f>
        <v>1.9171625896796471</v>
      </c>
      <c r="O60" s="23">
        <f>+L60*60*1000</f>
        <v>345.213888356033</v>
      </c>
      <c r="P60" s="42">
        <f>+N60*60</f>
        <v>115.02975538077882</v>
      </c>
      <c r="Q60" s="11"/>
      <c r="R60" s="10"/>
      <c r="S60" s="10"/>
    </row>
    <row r="61" spans="1:19" s="9" customFormat="1" ht="12.75">
      <c r="A61" s="379"/>
      <c r="B61" s="49" t="s">
        <v>354</v>
      </c>
      <c r="C61" s="34">
        <v>55</v>
      </c>
      <c r="D61" s="34" t="s">
        <v>24</v>
      </c>
      <c r="E61" s="50">
        <v>26.3</v>
      </c>
      <c r="F61" s="50">
        <v>3.16</v>
      </c>
      <c r="G61" s="50">
        <v>8.4</v>
      </c>
      <c r="H61" s="50">
        <v>14.74</v>
      </c>
      <c r="I61" s="60">
        <v>2538</v>
      </c>
      <c r="J61" s="50">
        <v>14.74</v>
      </c>
      <c r="K61" s="60">
        <v>2538</v>
      </c>
      <c r="L61" s="51">
        <f>J61/K61</f>
        <v>0.005807722616233255</v>
      </c>
      <c r="M61" s="28">
        <v>234.2</v>
      </c>
      <c r="N61" s="62">
        <f>L61*M61</f>
        <v>1.3601686367218282</v>
      </c>
      <c r="O61" s="62">
        <f>L61*60*1000</f>
        <v>348.4633569739953</v>
      </c>
      <c r="P61" s="61">
        <f>O61*M61/1000</f>
        <v>81.6101182033097</v>
      </c>
      <c r="Q61" s="11"/>
      <c r="R61" s="10"/>
      <c r="S61" s="10"/>
    </row>
    <row r="62" spans="1:19" s="9" customFormat="1" ht="12.75">
      <c r="A62" s="379"/>
      <c r="B62" s="119" t="s">
        <v>650</v>
      </c>
      <c r="C62" s="34">
        <v>52</v>
      </c>
      <c r="D62" s="34">
        <v>1973</v>
      </c>
      <c r="E62" s="72">
        <v>31.406975</v>
      </c>
      <c r="F62" s="72">
        <v>4.576383</v>
      </c>
      <c r="G62" s="72">
        <v>8.01</v>
      </c>
      <c r="H62" s="72">
        <v>18.820592</v>
      </c>
      <c r="I62" s="68">
        <v>2745.79</v>
      </c>
      <c r="J62" s="72">
        <v>15.296618</v>
      </c>
      <c r="K62" s="68">
        <v>2628.69</v>
      </c>
      <c r="L62" s="63">
        <f>J62/K62</f>
        <v>0.00581910305132975</v>
      </c>
      <c r="M62" s="28">
        <v>254.2</v>
      </c>
      <c r="N62" s="62">
        <f>L62*M62</f>
        <v>1.4792159956480224</v>
      </c>
      <c r="O62" s="62">
        <f>L62*60*1000</f>
        <v>349.14618307978503</v>
      </c>
      <c r="P62" s="61">
        <f>O62*M62/1000</f>
        <v>88.75295973888136</v>
      </c>
      <c r="R62" s="10"/>
      <c r="S62" s="10"/>
    </row>
    <row r="63" spans="1:19" s="9" customFormat="1" ht="12.75">
      <c r="A63" s="379"/>
      <c r="B63" s="107" t="s">
        <v>186</v>
      </c>
      <c r="C63" s="34">
        <v>60</v>
      </c>
      <c r="D63" s="34">
        <v>1971</v>
      </c>
      <c r="E63" s="50">
        <v>30.947</v>
      </c>
      <c r="F63" s="50">
        <v>5.02</v>
      </c>
      <c r="G63" s="50">
        <v>9.6</v>
      </c>
      <c r="H63" s="50">
        <v>16.327</v>
      </c>
      <c r="I63" s="28">
        <v>2799.04</v>
      </c>
      <c r="J63" s="50">
        <v>16.327</v>
      </c>
      <c r="K63" s="28">
        <v>2799.04</v>
      </c>
      <c r="L63" s="51">
        <f>J63/K63</f>
        <v>0.005833071338744713</v>
      </c>
      <c r="M63" s="28">
        <v>302.3</v>
      </c>
      <c r="N63" s="52">
        <f>L63*M63</f>
        <v>1.763337465702527</v>
      </c>
      <c r="O63" s="52">
        <f>L63*60*1000</f>
        <v>349.9842803246828</v>
      </c>
      <c r="P63" s="53">
        <f>O63*M63/1000</f>
        <v>105.80024794215161</v>
      </c>
      <c r="R63" s="10"/>
      <c r="S63" s="10"/>
    </row>
    <row r="64" spans="1:19" s="9" customFormat="1" ht="12.75">
      <c r="A64" s="379"/>
      <c r="B64" s="49" t="s">
        <v>762</v>
      </c>
      <c r="C64" s="34">
        <v>60</v>
      </c>
      <c r="D64" s="34">
        <v>1967</v>
      </c>
      <c r="E64" s="50">
        <v>28.3</v>
      </c>
      <c r="F64" s="50">
        <v>5.12</v>
      </c>
      <c r="G64" s="50">
        <v>9.6</v>
      </c>
      <c r="H64" s="50">
        <v>13.58</v>
      </c>
      <c r="I64" s="60">
        <v>2298.15</v>
      </c>
      <c r="J64" s="50">
        <v>13.6</v>
      </c>
      <c r="K64" s="60">
        <v>2298.2</v>
      </c>
      <c r="L64" s="51">
        <f>J64/K64</f>
        <v>0.005917674701940649</v>
      </c>
      <c r="M64" s="28">
        <v>224.1</v>
      </c>
      <c r="N64" s="52">
        <f>L64*M64</f>
        <v>1.3261509007048995</v>
      </c>
      <c r="O64" s="52">
        <f>L64*60*1000</f>
        <v>355.06048211643895</v>
      </c>
      <c r="P64" s="53">
        <f>O64*M64/1000</f>
        <v>79.56905404229397</v>
      </c>
      <c r="R64" s="10"/>
      <c r="S64" s="10"/>
    </row>
    <row r="65" spans="1:19" s="9" customFormat="1" ht="12.75">
      <c r="A65" s="379"/>
      <c r="B65" s="49" t="s">
        <v>345</v>
      </c>
      <c r="C65" s="34">
        <v>38</v>
      </c>
      <c r="D65" s="34">
        <v>2007</v>
      </c>
      <c r="E65" s="72">
        <v>21.515</v>
      </c>
      <c r="F65" s="50">
        <v>2.193</v>
      </c>
      <c r="G65" s="50">
        <v>2.959</v>
      </c>
      <c r="H65" s="72">
        <v>16.363</v>
      </c>
      <c r="I65" s="68">
        <v>2880.8</v>
      </c>
      <c r="J65" s="72">
        <v>14.86</v>
      </c>
      <c r="K65" s="68">
        <v>2457.74</v>
      </c>
      <c r="L65" s="63">
        <f>J65/K65</f>
        <v>0.0060462050501680405</v>
      </c>
      <c r="M65" s="28">
        <v>328.526</v>
      </c>
      <c r="N65" s="62">
        <f>L65*M65</f>
        <v>1.9863355603115058</v>
      </c>
      <c r="O65" s="62">
        <f>L65*60*1000</f>
        <v>362.77230301008245</v>
      </c>
      <c r="P65" s="61">
        <f>O65*M65/1000</f>
        <v>119.18013361869035</v>
      </c>
      <c r="R65" s="10"/>
      <c r="S65" s="10"/>
    </row>
    <row r="66" spans="1:19" s="9" customFormat="1" ht="12.75">
      <c r="A66" s="379"/>
      <c r="B66" s="40" t="s">
        <v>86</v>
      </c>
      <c r="C66" s="22">
        <v>72</v>
      </c>
      <c r="D66" s="22">
        <v>2005</v>
      </c>
      <c r="E66" s="71">
        <v>53.32</v>
      </c>
      <c r="F66" s="71">
        <v>17.06</v>
      </c>
      <c r="G66" s="71">
        <v>3.43</v>
      </c>
      <c r="H66" s="71">
        <v>32.83</v>
      </c>
      <c r="I66" s="31">
        <v>5350.7</v>
      </c>
      <c r="J66" s="71">
        <f>H66/I66*K66</f>
        <v>32.83184069374101</v>
      </c>
      <c r="K66" s="22">
        <v>5351</v>
      </c>
      <c r="L66" s="41">
        <f>J66/K66</f>
        <v>0.0061356458033528325</v>
      </c>
      <c r="M66" s="138">
        <f>294.4*1.09</f>
        <v>320.896</v>
      </c>
      <c r="N66" s="23">
        <f>L66*M66</f>
        <v>1.9689041957127107</v>
      </c>
      <c r="O66" s="23">
        <f>L66*60*1000</f>
        <v>368.1387482011699</v>
      </c>
      <c r="P66" s="42">
        <f>O66*M66/1000</f>
        <v>118.13425174276263</v>
      </c>
      <c r="R66" s="10"/>
      <c r="S66" s="10"/>
    </row>
    <row r="67" spans="1:19" s="9" customFormat="1" ht="12.75">
      <c r="A67" s="379"/>
      <c r="B67" s="49" t="s">
        <v>871</v>
      </c>
      <c r="C67" s="34">
        <v>45</v>
      </c>
      <c r="D67" s="34" t="s">
        <v>156</v>
      </c>
      <c r="E67" s="229"/>
      <c r="F67" s="50">
        <v>3.576408</v>
      </c>
      <c r="G67" s="50">
        <v>6.8</v>
      </c>
      <c r="H67" s="50">
        <v>4.237276</v>
      </c>
      <c r="I67" s="60">
        <v>2290.41</v>
      </c>
      <c r="J67" s="50">
        <v>14.12379</v>
      </c>
      <c r="K67" s="60">
        <v>2290.41</v>
      </c>
      <c r="L67" s="51">
        <f>J67/K67</f>
        <v>0.006166489842429958</v>
      </c>
      <c r="M67" s="28">
        <v>279.803</v>
      </c>
      <c r="N67" s="62">
        <f>L67*M67</f>
        <v>1.7254023573814294</v>
      </c>
      <c r="O67" s="62">
        <f>L67*60*1000</f>
        <v>369.9893905457975</v>
      </c>
      <c r="P67" s="61">
        <f>O67*M67/1000</f>
        <v>103.52414144288578</v>
      </c>
      <c r="R67" s="10"/>
      <c r="S67" s="10"/>
    </row>
    <row r="68" spans="1:19" s="9" customFormat="1" ht="12.75" customHeight="1">
      <c r="A68" s="379"/>
      <c r="B68" s="40" t="s">
        <v>48</v>
      </c>
      <c r="C68" s="22">
        <v>118</v>
      </c>
      <c r="D68" s="22">
        <v>2007</v>
      </c>
      <c r="E68" s="71">
        <v>83.86</v>
      </c>
      <c r="F68" s="71">
        <v>21.32</v>
      </c>
      <c r="G68" s="71">
        <v>14.81</v>
      </c>
      <c r="H68" s="71">
        <f>E68-F68-G68</f>
        <v>47.73</v>
      </c>
      <c r="I68" s="31">
        <v>7738</v>
      </c>
      <c r="J68" s="71">
        <f>H68/I68*K68</f>
        <v>43.07296329800982</v>
      </c>
      <c r="K68" s="22">
        <v>6983</v>
      </c>
      <c r="L68" s="41">
        <f>J68/K68</f>
        <v>0.006168260532437322</v>
      </c>
      <c r="M68" s="138">
        <f>294.4*1.09</f>
        <v>320.896</v>
      </c>
      <c r="N68" s="23">
        <f>L68*M68</f>
        <v>1.979370131817007</v>
      </c>
      <c r="O68" s="23">
        <f>L68*60*1000</f>
        <v>370.0956319462393</v>
      </c>
      <c r="P68" s="42">
        <f>O68*M68/1000</f>
        <v>118.7622079090204</v>
      </c>
      <c r="Q68" s="11"/>
      <c r="R68" s="10"/>
      <c r="S68" s="10"/>
    </row>
    <row r="69" spans="1:19" s="9" customFormat="1" ht="12.75" customHeight="1">
      <c r="A69" s="379"/>
      <c r="B69" s="40" t="s">
        <v>233</v>
      </c>
      <c r="C69" s="22">
        <v>51</v>
      </c>
      <c r="D69" s="22">
        <v>2005</v>
      </c>
      <c r="E69" s="71">
        <v>29.56</v>
      </c>
      <c r="F69" s="71">
        <v>6.63</v>
      </c>
      <c r="G69" s="71">
        <v>3.94</v>
      </c>
      <c r="H69" s="71">
        <f>E69-F69-G69</f>
        <v>18.99</v>
      </c>
      <c r="I69" s="31">
        <v>3073.9</v>
      </c>
      <c r="J69" s="71">
        <f>H69/I69*K69</f>
        <v>18.54581476300465</v>
      </c>
      <c r="K69" s="22">
        <v>3002</v>
      </c>
      <c r="L69" s="41">
        <f>J69/K69</f>
        <v>0.006177819707862974</v>
      </c>
      <c r="M69" s="138">
        <f>294.4*1.09</f>
        <v>320.896</v>
      </c>
      <c r="N69" s="23">
        <f>L69*M69</f>
        <v>1.9824376329743971</v>
      </c>
      <c r="O69" s="23">
        <f>L69*60*1000</f>
        <v>370.6691824717784</v>
      </c>
      <c r="P69" s="42">
        <f>O69*M69/1000</f>
        <v>118.9462579784638</v>
      </c>
      <c r="R69" s="10"/>
      <c r="S69" s="10"/>
    </row>
    <row r="70" spans="1:25" s="9" customFormat="1" ht="12.75" customHeight="1">
      <c r="A70" s="379"/>
      <c r="B70" s="49" t="s">
        <v>563</v>
      </c>
      <c r="C70" s="34">
        <v>63</v>
      </c>
      <c r="D70" s="34">
        <v>1982</v>
      </c>
      <c r="E70" s="50">
        <v>30.24495</v>
      </c>
      <c r="F70" s="50">
        <v>3.94893</v>
      </c>
      <c r="G70" s="50">
        <v>6</v>
      </c>
      <c r="H70" s="50">
        <f>E70-F70-G70</f>
        <v>20.29602</v>
      </c>
      <c r="I70" s="60">
        <v>3277.27</v>
      </c>
      <c r="J70" s="50">
        <f>H70</f>
        <v>20.29602</v>
      </c>
      <c r="K70" s="60">
        <f>I70</f>
        <v>3277.27</v>
      </c>
      <c r="L70" s="51">
        <f>J70/K70</f>
        <v>0.006192965486517742</v>
      </c>
      <c r="M70" s="28">
        <v>279.5</v>
      </c>
      <c r="N70" s="52">
        <f>L70*M70</f>
        <v>1.730933853481709</v>
      </c>
      <c r="O70" s="52">
        <f>L70*60*1000</f>
        <v>371.5779291910645</v>
      </c>
      <c r="P70" s="53">
        <f>O70*M70/1000</f>
        <v>103.85603120890254</v>
      </c>
      <c r="Q70" s="17"/>
      <c r="R70" s="10"/>
      <c r="S70" s="10"/>
      <c r="T70" s="17"/>
      <c r="U70" s="17"/>
      <c r="V70" s="17"/>
      <c r="W70" s="17"/>
      <c r="X70" s="17"/>
      <c r="Y70" s="17"/>
    </row>
    <row r="71" spans="1:22" s="9" customFormat="1" ht="12.75" customHeight="1">
      <c r="A71" s="379"/>
      <c r="B71" s="40" t="s">
        <v>27</v>
      </c>
      <c r="C71" s="22">
        <v>56</v>
      </c>
      <c r="D71" s="22">
        <v>2008</v>
      </c>
      <c r="E71" s="71">
        <v>32.117</v>
      </c>
      <c r="F71" s="71">
        <v>8.251682</v>
      </c>
      <c r="G71" s="71">
        <v>4.48</v>
      </c>
      <c r="H71" s="71">
        <v>19.385317999999998</v>
      </c>
      <c r="I71" s="31">
        <v>3105.9</v>
      </c>
      <c r="J71" s="71">
        <v>19.385319</v>
      </c>
      <c r="K71" s="31">
        <v>3105.9</v>
      </c>
      <c r="L71" s="41">
        <f>J71/K71</f>
        <v>0.006241449821307833</v>
      </c>
      <c r="M71" s="22">
        <v>298.66</v>
      </c>
      <c r="N71" s="23">
        <f>L71*M71</f>
        <v>1.8640714036317976</v>
      </c>
      <c r="O71" s="23">
        <f>L71*60*1000</f>
        <v>374.48698927846993</v>
      </c>
      <c r="P71" s="42">
        <f>O71*M71/1000</f>
        <v>111.84428421790784</v>
      </c>
      <c r="Q71" s="10"/>
      <c r="R71" s="10"/>
      <c r="S71" s="10"/>
      <c r="T71" s="12"/>
      <c r="U71" s="13"/>
      <c r="V71" s="13"/>
    </row>
    <row r="72" spans="1:19" s="9" customFormat="1" ht="12.75" customHeight="1">
      <c r="A72" s="379"/>
      <c r="B72" s="40" t="s">
        <v>51</v>
      </c>
      <c r="C72" s="22">
        <v>18</v>
      </c>
      <c r="D72" s="22">
        <v>2006</v>
      </c>
      <c r="E72" s="71">
        <v>17.02</v>
      </c>
      <c r="F72" s="71">
        <v>2.85</v>
      </c>
      <c r="G72" s="71">
        <v>1.68</v>
      </c>
      <c r="H72" s="71">
        <f>E72-F72-G72</f>
        <v>12.49</v>
      </c>
      <c r="I72" s="31">
        <v>1988.3</v>
      </c>
      <c r="J72" s="71">
        <f>H72/I72*K72</f>
        <v>9.510566815872856</v>
      </c>
      <c r="K72" s="22">
        <v>1514</v>
      </c>
      <c r="L72" s="41">
        <f>J72/K72</f>
        <v>0.006281748227128703</v>
      </c>
      <c r="M72" s="138">
        <f>294.4*1.09</f>
        <v>320.896</v>
      </c>
      <c r="N72" s="23">
        <f>L72*M72</f>
        <v>2.0157878790926924</v>
      </c>
      <c r="O72" s="23">
        <f>L72*60*1000</f>
        <v>376.9048936277222</v>
      </c>
      <c r="P72" s="42">
        <f>O72*M72/1000</f>
        <v>120.94727274556153</v>
      </c>
      <c r="R72" s="10"/>
      <c r="S72" s="10"/>
    </row>
    <row r="73" spans="1:25" s="9" customFormat="1" ht="12.75" customHeight="1">
      <c r="A73" s="379"/>
      <c r="B73" s="49" t="s">
        <v>476</v>
      </c>
      <c r="C73" s="34">
        <v>45</v>
      </c>
      <c r="D73" s="34">
        <v>1974</v>
      </c>
      <c r="E73" s="50">
        <f>F73+G73+H73</f>
        <v>27.759999999999998</v>
      </c>
      <c r="F73" s="50">
        <v>6.247</v>
      </c>
      <c r="G73" s="50">
        <v>7.2</v>
      </c>
      <c r="H73" s="50">
        <v>14.313</v>
      </c>
      <c r="I73" s="60">
        <v>2276.56</v>
      </c>
      <c r="J73" s="50">
        <f>H73</f>
        <v>14.313</v>
      </c>
      <c r="K73" s="60">
        <f>I73</f>
        <v>2276.56</v>
      </c>
      <c r="L73" s="51">
        <f>J73/K73</f>
        <v>0.006287117405207858</v>
      </c>
      <c r="M73" s="28">
        <v>206.9</v>
      </c>
      <c r="N73" s="62">
        <f>L73*M73</f>
        <v>1.300804591137506</v>
      </c>
      <c r="O73" s="62">
        <f>L73*60*1000</f>
        <v>377.22704431247143</v>
      </c>
      <c r="P73" s="61">
        <f>O73*M73/1000</f>
        <v>78.04827546825034</v>
      </c>
      <c r="Q73" s="17"/>
      <c r="R73" s="10"/>
      <c r="S73" s="10"/>
      <c r="T73" s="17"/>
      <c r="U73" s="17"/>
      <c r="V73" s="17"/>
      <c r="W73" s="17"/>
      <c r="X73" s="17"/>
      <c r="Y73" s="17"/>
    </row>
    <row r="74" spans="1:16" s="9" customFormat="1" ht="12.75" customHeight="1">
      <c r="A74" s="379"/>
      <c r="B74" s="58" t="s">
        <v>195</v>
      </c>
      <c r="C74" s="59">
        <v>40</v>
      </c>
      <c r="D74" s="22">
        <v>2009</v>
      </c>
      <c r="E74" s="71">
        <f>+F74+G74+H74</f>
        <v>27.137999999999998</v>
      </c>
      <c r="F74" s="73">
        <v>9.87712</v>
      </c>
      <c r="G74" s="73">
        <v>3.2</v>
      </c>
      <c r="H74" s="73">
        <v>14.06088</v>
      </c>
      <c r="I74" s="69">
        <v>2225.68</v>
      </c>
      <c r="J74" s="73">
        <v>14.06088</v>
      </c>
      <c r="K74" s="69">
        <v>2225.68</v>
      </c>
      <c r="L74" s="41">
        <f>+J74/K74</f>
        <v>0.006317565867510155</v>
      </c>
      <c r="M74" s="23">
        <v>338.118</v>
      </c>
      <c r="N74" s="23">
        <f>+L74*M74</f>
        <v>2.1360827359907986</v>
      </c>
      <c r="O74" s="23">
        <f>+L74*60*1000</f>
        <v>379.05395205060927</v>
      </c>
      <c r="P74" s="42">
        <f>+N74*60</f>
        <v>128.16496415944792</v>
      </c>
    </row>
    <row r="75" spans="1:16" s="9" customFormat="1" ht="12.75" customHeight="1">
      <c r="A75" s="379"/>
      <c r="B75" s="119" t="s">
        <v>199</v>
      </c>
      <c r="C75" s="34">
        <v>46</v>
      </c>
      <c r="D75" s="34">
        <v>1993</v>
      </c>
      <c r="E75" s="72">
        <v>34.08198</v>
      </c>
      <c r="F75" s="72">
        <v>5.595567</v>
      </c>
      <c r="G75" s="72">
        <v>9.84</v>
      </c>
      <c r="H75" s="72">
        <v>18.646413</v>
      </c>
      <c r="I75" s="68">
        <v>2941.14</v>
      </c>
      <c r="J75" s="72">
        <v>17.160236</v>
      </c>
      <c r="K75" s="68">
        <v>2706.72</v>
      </c>
      <c r="L75" s="63">
        <v>0.006339</v>
      </c>
      <c r="M75" s="28">
        <v>277.1</v>
      </c>
      <c r="N75" s="62">
        <f>L75*M75*1.09</f>
        <v>1.9146252210000003</v>
      </c>
      <c r="O75" s="62">
        <f>L75*60*1000</f>
        <v>380.34000000000003</v>
      </c>
      <c r="P75" s="61">
        <f>O75*M75/1000</f>
        <v>105.39221400000002</v>
      </c>
    </row>
    <row r="76" spans="1:19" s="9" customFormat="1" ht="12.75" customHeight="1">
      <c r="A76" s="379"/>
      <c r="B76" s="40" t="s">
        <v>55</v>
      </c>
      <c r="C76" s="22">
        <v>38</v>
      </c>
      <c r="D76" s="22">
        <v>2004</v>
      </c>
      <c r="E76" s="71">
        <v>21.66</v>
      </c>
      <c r="F76" s="71">
        <v>5.46</v>
      </c>
      <c r="G76" s="71">
        <v>0.945</v>
      </c>
      <c r="H76" s="71">
        <f>E76-F76-G76</f>
        <v>15.254999999999999</v>
      </c>
      <c r="I76" s="31">
        <v>2372</v>
      </c>
      <c r="J76" s="71">
        <f>H76/I76*K76</f>
        <v>15.254999999999999</v>
      </c>
      <c r="K76" s="22">
        <v>2372</v>
      </c>
      <c r="L76" s="41">
        <f>J76/K76</f>
        <v>0.006431281618887015</v>
      </c>
      <c r="M76" s="138">
        <f>294.4*1.09</f>
        <v>320.896</v>
      </c>
      <c r="N76" s="23">
        <f>L76*M76</f>
        <v>2.0637725463743677</v>
      </c>
      <c r="O76" s="23">
        <f>L76*60*1000</f>
        <v>385.87689713322095</v>
      </c>
      <c r="P76" s="42">
        <f>O76*M76/1000</f>
        <v>123.82635278246207</v>
      </c>
      <c r="R76" s="10"/>
      <c r="S76" s="10"/>
    </row>
    <row r="77" spans="1:19" s="9" customFormat="1" ht="12.75" customHeight="1">
      <c r="A77" s="379"/>
      <c r="B77" s="49" t="s">
        <v>694</v>
      </c>
      <c r="C77" s="34">
        <v>15</v>
      </c>
      <c r="D77" s="34" t="s">
        <v>24</v>
      </c>
      <c r="E77" s="50">
        <v>5.52</v>
      </c>
      <c r="F77" s="50">
        <v>0</v>
      </c>
      <c r="G77" s="50">
        <v>0</v>
      </c>
      <c r="H77" s="50">
        <v>5.52</v>
      </c>
      <c r="I77" s="60">
        <v>847</v>
      </c>
      <c r="J77" s="50">
        <v>5.52</v>
      </c>
      <c r="K77" s="60">
        <v>847</v>
      </c>
      <c r="L77" s="51">
        <f>J77/K77</f>
        <v>0.006517119244391971</v>
      </c>
      <c r="M77" s="28">
        <v>234.2</v>
      </c>
      <c r="N77" s="62">
        <f>L77*M77</f>
        <v>1.5263093270365995</v>
      </c>
      <c r="O77" s="62">
        <f>L77*60*1000</f>
        <v>391.0271546635183</v>
      </c>
      <c r="P77" s="61">
        <f>O77*M77/1000</f>
        <v>91.57855962219597</v>
      </c>
      <c r="R77" s="10"/>
      <c r="S77" s="10"/>
    </row>
    <row r="78" spans="1:25" s="9" customFormat="1" ht="12.75" customHeight="1">
      <c r="A78" s="379"/>
      <c r="B78" s="119" t="s">
        <v>798</v>
      </c>
      <c r="C78" s="34">
        <v>75</v>
      </c>
      <c r="D78" s="34" t="s">
        <v>24</v>
      </c>
      <c r="E78" s="72">
        <f>F78+G78+H78</f>
        <v>40.997</v>
      </c>
      <c r="F78" s="72">
        <v>6.827</v>
      </c>
      <c r="G78" s="72">
        <v>11.84</v>
      </c>
      <c r="H78" s="72">
        <v>22.33</v>
      </c>
      <c r="I78" s="68">
        <v>3389.63</v>
      </c>
      <c r="J78" s="72">
        <v>22.33</v>
      </c>
      <c r="K78" s="68">
        <v>3389.63</v>
      </c>
      <c r="L78" s="63">
        <f>J78/K78</f>
        <v>0.006587739664801172</v>
      </c>
      <c r="M78" s="28">
        <v>351.85</v>
      </c>
      <c r="N78" s="62">
        <f>L78*M78</f>
        <v>2.3178962010602926</v>
      </c>
      <c r="O78" s="62">
        <f>L78*60*1000</f>
        <v>395.2643798880703</v>
      </c>
      <c r="P78" s="61">
        <f>O78*M78/1000</f>
        <v>139.07377206361755</v>
      </c>
      <c r="Q78" s="17"/>
      <c r="R78" s="10"/>
      <c r="S78" s="10"/>
      <c r="T78" s="17"/>
      <c r="U78" s="17"/>
      <c r="V78" s="17"/>
      <c r="W78" s="17"/>
      <c r="X78" s="17"/>
      <c r="Y78" s="17"/>
    </row>
    <row r="79" spans="1:19" s="9" customFormat="1" ht="12.75" customHeight="1">
      <c r="A79" s="379"/>
      <c r="B79" s="119" t="s">
        <v>859</v>
      </c>
      <c r="C79" s="34">
        <v>11</v>
      </c>
      <c r="D79" s="34"/>
      <c r="E79" s="72">
        <f>F79+G79+H79</f>
        <v>7.456997</v>
      </c>
      <c r="F79" s="72">
        <v>1.003529</v>
      </c>
      <c r="G79" s="72">
        <v>1.76</v>
      </c>
      <c r="H79" s="72">
        <v>4.693468</v>
      </c>
      <c r="I79" s="68">
        <v>708.61</v>
      </c>
      <c r="J79" s="72">
        <f>H79</f>
        <v>4.693468</v>
      </c>
      <c r="K79" s="68">
        <f>I79</f>
        <v>708.61</v>
      </c>
      <c r="L79" s="63">
        <f>J79/K79</f>
        <v>0.006623485415108452</v>
      </c>
      <c r="M79" s="28">
        <v>349.12</v>
      </c>
      <c r="N79" s="62">
        <f>L79*M79</f>
        <v>2.312391228122663</v>
      </c>
      <c r="O79" s="62">
        <f>L79*60*1000</f>
        <v>397.40912490650715</v>
      </c>
      <c r="P79" s="61">
        <f>O79*M79/1000</f>
        <v>138.74347368735977</v>
      </c>
      <c r="R79" s="10"/>
      <c r="S79" s="10"/>
    </row>
    <row r="80" spans="1:19" s="9" customFormat="1" ht="12.75" customHeight="1">
      <c r="A80" s="379"/>
      <c r="B80" s="58" t="s">
        <v>192</v>
      </c>
      <c r="C80" s="59">
        <v>10</v>
      </c>
      <c r="D80" s="22">
        <v>1999</v>
      </c>
      <c r="E80" s="71">
        <f>+F80+G80+H80</f>
        <v>8.3696</v>
      </c>
      <c r="F80" s="73">
        <v>0</v>
      </c>
      <c r="G80" s="73">
        <v>0</v>
      </c>
      <c r="H80" s="73">
        <v>8.3696</v>
      </c>
      <c r="I80" s="69">
        <v>1261.9</v>
      </c>
      <c r="J80" s="73">
        <v>8.3696</v>
      </c>
      <c r="K80" s="69">
        <v>1261.9</v>
      </c>
      <c r="L80" s="41">
        <f>+J80/K80</f>
        <v>0.006632538235993343</v>
      </c>
      <c r="M80" s="23">
        <v>333.213</v>
      </c>
      <c r="N80" s="23">
        <f>+L80*M80</f>
        <v>2.21004796323005</v>
      </c>
      <c r="O80" s="23">
        <f>+L80*60*1000</f>
        <v>397.95229415960057</v>
      </c>
      <c r="P80" s="42">
        <f>+N80*60</f>
        <v>132.60287779380297</v>
      </c>
      <c r="R80" s="10"/>
      <c r="S80" s="10"/>
    </row>
    <row r="81" spans="1:19" s="9" customFormat="1" ht="12.75" customHeight="1">
      <c r="A81" s="379"/>
      <c r="B81" s="119" t="s">
        <v>429</v>
      </c>
      <c r="C81" s="34">
        <v>30</v>
      </c>
      <c r="D81" s="34">
        <v>1987</v>
      </c>
      <c r="E81" s="72">
        <v>17.906978</v>
      </c>
      <c r="F81" s="72">
        <v>3.009</v>
      </c>
      <c r="G81" s="72">
        <v>4.8</v>
      </c>
      <c r="H81" s="72">
        <v>10.097978</v>
      </c>
      <c r="I81" s="68">
        <v>1509.61</v>
      </c>
      <c r="J81" s="72">
        <v>9.697713</v>
      </c>
      <c r="K81" s="68">
        <v>1453.73</v>
      </c>
      <c r="L81" s="63">
        <f>J81/K81</f>
        <v>0.0066709175706630534</v>
      </c>
      <c r="M81" s="28">
        <v>254.2</v>
      </c>
      <c r="N81" s="62">
        <f>L81*M81</f>
        <v>1.695747246462548</v>
      </c>
      <c r="O81" s="62">
        <f>L81*60*1000</f>
        <v>400.2550542397832</v>
      </c>
      <c r="P81" s="61">
        <f>O81*M81/1000</f>
        <v>101.7448347877529</v>
      </c>
      <c r="R81" s="10"/>
      <c r="S81" s="10"/>
    </row>
    <row r="82" spans="1:19" s="9" customFormat="1" ht="12.75" customHeight="1">
      <c r="A82" s="379"/>
      <c r="B82" s="122" t="s">
        <v>598</v>
      </c>
      <c r="C82" s="34">
        <v>51</v>
      </c>
      <c r="D82" s="34">
        <v>2007</v>
      </c>
      <c r="E82" s="72">
        <v>28.737</v>
      </c>
      <c r="F82" s="72">
        <v>5.559</v>
      </c>
      <c r="G82" s="72">
        <v>3.507</v>
      </c>
      <c r="H82" s="72">
        <v>19.671</v>
      </c>
      <c r="I82" s="28">
        <v>2943.57</v>
      </c>
      <c r="J82" s="72">
        <v>19.671</v>
      </c>
      <c r="K82" s="28">
        <v>2943.57</v>
      </c>
      <c r="L82" s="63">
        <f>J82/K82</f>
        <v>0.00668270161742374</v>
      </c>
      <c r="M82" s="28">
        <v>302.3</v>
      </c>
      <c r="N82" s="62">
        <f>L82*M82</f>
        <v>2.0201806989471964</v>
      </c>
      <c r="O82" s="62">
        <f>L82*60*1000</f>
        <v>400.9620970454244</v>
      </c>
      <c r="P82" s="61">
        <f>O82*M82/1000</f>
        <v>121.2108419368318</v>
      </c>
      <c r="R82" s="10"/>
      <c r="S82" s="10"/>
    </row>
    <row r="83" spans="1:19" s="9" customFormat="1" ht="12.75" customHeight="1">
      <c r="A83" s="379"/>
      <c r="B83" s="49" t="s">
        <v>346</v>
      </c>
      <c r="C83" s="34">
        <v>43</v>
      </c>
      <c r="D83" s="34">
        <v>2008</v>
      </c>
      <c r="E83" s="72">
        <v>31.167</v>
      </c>
      <c r="F83" s="50">
        <v>2.448</v>
      </c>
      <c r="G83" s="50">
        <v>4.56</v>
      </c>
      <c r="H83" s="72">
        <v>24.159</v>
      </c>
      <c r="I83" s="68">
        <v>3748.17</v>
      </c>
      <c r="J83" s="72">
        <v>19.66</v>
      </c>
      <c r="K83" s="68">
        <v>2936.08</v>
      </c>
      <c r="L83" s="63">
        <f>J83/K83</f>
        <v>0.006696002833710253</v>
      </c>
      <c r="M83" s="28">
        <v>328.526</v>
      </c>
      <c r="N83" s="62">
        <f>L83*M83</f>
        <v>2.199811026947495</v>
      </c>
      <c r="O83" s="62">
        <f>L83*60*1000</f>
        <v>401.7601700226152</v>
      </c>
      <c r="P83" s="61">
        <f>O83*M83/1000</f>
        <v>131.9886616168497</v>
      </c>
      <c r="R83" s="10"/>
      <c r="S83" s="10"/>
    </row>
    <row r="84" spans="1:19" s="9" customFormat="1" ht="12.75" customHeight="1">
      <c r="A84" s="379"/>
      <c r="B84" s="49" t="s">
        <v>695</v>
      </c>
      <c r="C84" s="34">
        <v>10</v>
      </c>
      <c r="D84" s="34" t="s">
        <v>24</v>
      </c>
      <c r="E84" s="50">
        <v>7.39</v>
      </c>
      <c r="F84" s="50">
        <v>1.47</v>
      </c>
      <c r="G84" s="50">
        <v>1.6</v>
      </c>
      <c r="H84" s="50">
        <v>4.32</v>
      </c>
      <c r="I84" s="60">
        <v>642</v>
      </c>
      <c r="J84" s="50">
        <v>4.32</v>
      </c>
      <c r="K84" s="60">
        <v>642</v>
      </c>
      <c r="L84" s="51">
        <f>J84/K84</f>
        <v>0.0067289719626168224</v>
      </c>
      <c r="M84" s="28">
        <v>234.2</v>
      </c>
      <c r="N84" s="62">
        <f>L84*M84</f>
        <v>1.5759252336448597</v>
      </c>
      <c r="O84" s="62">
        <f>L84*60*1000</f>
        <v>403.7383177570094</v>
      </c>
      <c r="P84" s="61">
        <f>O84*M84/1000</f>
        <v>94.5555140186916</v>
      </c>
      <c r="R84" s="10"/>
      <c r="S84" s="10"/>
    </row>
    <row r="85" spans="1:16" s="9" customFormat="1" ht="13.5" customHeight="1">
      <c r="A85" s="379"/>
      <c r="B85" s="40" t="s">
        <v>785</v>
      </c>
      <c r="C85" s="22">
        <v>40</v>
      </c>
      <c r="D85" s="22" t="s">
        <v>24</v>
      </c>
      <c r="E85" s="50">
        <f>F85+G85+H85</f>
        <v>26.630000000000003</v>
      </c>
      <c r="F85" s="50">
        <v>4.79</v>
      </c>
      <c r="G85" s="50">
        <v>6.44</v>
      </c>
      <c r="H85" s="50">
        <v>15.4</v>
      </c>
      <c r="I85" s="31">
        <v>2287.45</v>
      </c>
      <c r="J85" s="50">
        <v>15.4</v>
      </c>
      <c r="K85" s="31">
        <v>2287.45</v>
      </c>
      <c r="L85" s="51">
        <f>J85/K85</f>
        <v>0.006732387593171436</v>
      </c>
      <c r="M85" s="28">
        <v>206.1</v>
      </c>
      <c r="N85" s="52">
        <f>L85*M85</f>
        <v>1.3875450829526328</v>
      </c>
      <c r="O85" s="52">
        <f>L85*60*1000</f>
        <v>403.9432555902861</v>
      </c>
      <c r="P85" s="53">
        <f>O85*M85/1000</f>
        <v>83.25270497715796</v>
      </c>
    </row>
    <row r="86" spans="1:19" s="9" customFormat="1" ht="12.75" customHeight="1">
      <c r="A86" s="379"/>
      <c r="B86" s="107" t="s">
        <v>599</v>
      </c>
      <c r="C86" s="34">
        <v>54</v>
      </c>
      <c r="D86" s="34">
        <v>2007</v>
      </c>
      <c r="E86" s="50">
        <v>29.277</v>
      </c>
      <c r="F86" s="50">
        <v>4.896</v>
      </c>
      <c r="G86" s="50">
        <v>3.275</v>
      </c>
      <c r="H86" s="50">
        <v>21.106</v>
      </c>
      <c r="I86" s="28">
        <v>3133.4</v>
      </c>
      <c r="J86" s="50">
        <v>21.106</v>
      </c>
      <c r="K86" s="28">
        <v>3133.4</v>
      </c>
      <c r="L86" s="51">
        <f>J86/K86</f>
        <v>0.006735814131614221</v>
      </c>
      <c r="M86" s="28">
        <v>302.3</v>
      </c>
      <c r="N86" s="52">
        <f>L86*M86</f>
        <v>2.036236611986979</v>
      </c>
      <c r="O86" s="52">
        <f>L86*60*1000</f>
        <v>404.1488478968532</v>
      </c>
      <c r="P86" s="53">
        <f>O86*M86/1000</f>
        <v>122.17419671921873</v>
      </c>
      <c r="R86" s="10"/>
      <c r="S86" s="10"/>
    </row>
    <row r="87" spans="1:19" s="9" customFormat="1" ht="12.75" customHeight="1">
      <c r="A87" s="379"/>
      <c r="B87" s="119" t="s">
        <v>200</v>
      </c>
      <c r="C87" s="34">
        <v>55</v>
      </c>
      <c r="D87" s="34">
        <v>1990</v>
      </c>
      <c r="E87" s="72">
        <v>42.968004</v>
      </c>
      <c r="F87" s="72">
        <v>6.63</v>
      </c>
      <c r="G87" s="72">
        <v>12.56</v>
      </c>
      <c r="H87" s="72">
        <v>23.778004</v>
      </c>
      <c r="I87" s="68">
        <v>3527.73</v>
      </c>
      <c r="J87" s="72">
        <v>23.778004</v>
      </c>
      <c r="K87" s="68">
        <v>3527.73</v>
      </c>
      <c r="L87" s="63">
        <v>0.00674</v>
      </c>
      <c r="M87" s="28">
        <v>277.1</v>
      </c>
      <c r="N87" s="62">
        <f>L87*M87*1.09</f>
        <v>2.0357428600000005</v>
      </c>
      <c r="O87" s="62">
        <f>L87*60*1000</f>
        <v>404.40000000000003</v>
      </c>
      <c r="P87" s="61">
        <f>O87*M87/1000</f>
        <v>112.05924000000002</v>
      </c>
      <c r="R87" s="10"/>
      <c r="S87" s="10"/>
    </row>
    <row r="88" spans="1:19" s="9" customFormat="1" ht="12.75" customHeight="1">
      <c r="A88" s="379"/>
      <c r="B88" s="40" t="s">
        <v>163</v>
      </c>
      <c r="C88" s="22">
        <v>30</v>
      </c>
      <c r="D88" s="22">
        <v>2007</v>
      </c>
      <c r="E88" s="71">
        <v>15.6</v>
      </c>
      <c r="F88" s="71">
        <v>3.56</v>
      </c>
      <c r="G88" s="71">
        <v>2.4</v>
      </c>
      <c r="H88" s="71">
        <f>E88-F88-G88</f>
        <v>9.639999999999999</v>
      </c>
      <c r="I88" s="31">
        <v>1423.9</v>
      </c>
      <c r="J88" s="71">
        <v>9.64</v>
      </c>
      <c r="K88" s="31">
        <v>1423.9</v>
      </c>
      <c r="L88" s="41">
        <f>J88/K88</f>
        <v>0.0067701383524123885</v>
      </c>
      <c r="M88" s="23">
        <v>264.761</v>
      </c>
      <c r="N88" s="23">
        <f>L88*M88</f>
        <v>1.7924686003230565</v>
      </c>
      <c r="O88" s="23">
        <f>L88*1000*60</f>
        <v>406.2083011447433</v>
      </c>
      <c r="P88" s="42">
        <f>N88*60</f>
        <v>107.5481160193834</v>
      </c>
      <c r="R88" s="10"/>
      <c r="S88" s="10"/>
    </row>
    <row r="89" spans="1:19" s="9" customFormat="1" ht="12.75">
      <c r="A89" s="379"/>
      <c r="B89" s="320" t="s">
        <v>1002</v>
      </c>
      <c r="C89" s="288">
        <v>40</v>
      </c>
      <c r="D89" s="289" t="s">
        <v>24</v>
      </c>
      <c r="E89" s="290">
        <v>29.09</v>
      </c>
      <c r="F89" s="290">
        <v>5.72</v>
      </c>
      <c r="G89" s="291">
        <v>6.4</v>
      </c>
      <c r="H89" s="290">
        <v>16.97</v>
      </c>
      <c r="I89" s="292">
        <v>2494.75</v>
      </c>
      <c r="J89" s="290">
        <v>16.97</v>
      </c>
      <c r="K89" s="292">
        <v>2494.75</v>
      </c>
      <c r="L89" s="63">
        <f>J89/K89</f>
        <v>0.006802284798075959</v>
      </c>
      <c r="M89" s="28">
        <v>269.2</v>
      </c>
      <c r="N89" s="62">
        <f>L89*M89</f>
        <v>1.8311750676420482</v>
      </c>
      <c r="O89" s="62">
        <f>L89*60*1000</f>
        <v>408.13708788455756</v>
      </c>
      <c r="P89" s="61">
        <f>O89*M89/1000</f>
        <v>109.87050405852288</v>
      </c>
      <c r="Q89" s="11"/>
      <c r="R89" s="10"/>
      <c r="S89" s="10"/>
    </row>
    <row r="90" spans="1:19" s="9" customFormat="1" ht="12.75" customHeight="1">
      <c r="A90" s="379"/>
      <c r="B90" s="119" t="s">
        <v>651</v>
      </c>
      <c r="C90" s="34">
        <v>34</v>
      </c>
      <c r="D90" s="34">
        <v>1973</v>
      </c>
      <c r="E90" s="72">
        <v>19.595984</v>
      </c>
      <c r="F90" s="72">
        <v>2.452437</v>
      </c>
      <c r="G90" s="72">
        <v>5.14</v>
      </c>
      <c r="H90" s="72">
        <v>12.003547</v>
      </c>
      <c r="I90" s="68">
        <v>1759.84</v>
      </c>
      <c r="J90" s="72">
        <v>12.003564</v>
      </c>
      <c r="K90" s="68">
        <v>1759.84</v>
      </c>
      <c r="L90" s="63">
        <f>J90/K90</f>
        <v>0.006820826893353942</v>
      </c>
      <c r="M90" s="28">
        <v>254.2</v>
      </c>
      <c r="N90" s="62">
        <f>L90*M90</f>
        <v>1.733854196290572</v>
      </c>
      <c r="O90" s="62">
        <f>L90*60*1000</f>
        <v>409.2496136012365</v>
      </c>
      <c r="P90" s="61">
        <f>O90*M90/1000</f>
        <v>104.03125177743432</v>
      </c>
      <c r="R90" s="10"/>
      <c r="S90" s="10"/>
    </row>
    <row r="91" spans="1:19" s="9" customFormat="1" ht="12.75">
      <c r="A91" s="379"/>
      <c r="B91" s="320" t="s">
        <v>1003</v>
      </c>
      <c r="C91" s="288">
        <v>103</v>
      </c>
      <c r="D91" s="289" t="s">
        <v>24</v>
      </c>
      <c r="E91" s="290">
        <v>54.37</v>
      </c>
      <c r="F91" s="290">
        <v>8.09</v>
      </c>
      <c r="G91" s="291">
        <v>16</v>
      </c>
      <c r="H91" s="290">
        <v>30.28</v>
      </c>
      <c r="I91" s="292">
        <v>4437.08</v>
      </c>
      <c r="J91" s="290">
        <v>30.28</v>
      </c>
      <c r="K91" s="292">
        <v>4437.08</v>
      </c>
      <c r="L91" s="63">
        <f>J91/K91</f>
        <v>0.0068243078781541015</v>
      </c>
      <c r="M91" s="28">
        <v>269.2</v>
      </c>
      <c r="N91" s="62">
        <f>L91*M91</f>
        <v>1.837103680799084</v>
      </c>
      <c r="O91" s="62">
        <f>L91*60*1000</f>
        <v>409.4584726892461</v>
      </c>
      <c r="P91" s="61">
        <f>O91*M91/1000</f>
        <v>110.22622084794504</v>
      </c>
      <c r="R91" s="10"/>
      <c r="S91" s="10"/>
    </row>
    <row r="92" spans="1:19" s="9" customFormat="1" ht="12.75">
      <c r="A92" s="379"/>
      <c r="B92" s="119" t="s">
        <v>872</v>
      </c>
      <c r="C92" s="34">
        <v>40</v>
      </c>
      <c r="D92" s="34" t="s">
        <v>156</v>
      </c>
      <c r="E92" s="259"/>
      <c r="F92" s="72">
        <v>2.43846</v>
      </c>
      <c r="G92" s="72">
        <v>6.08</v>
      </c>
      <c r="H92" s="72">
        <v>15.560085</v>
      </c>
      <c r="I92" s="68">
        <v>2260.27</v>
      </c>
      <c r="J92" s="72">
        <v>15.560085</v>
      </c>
      <c r="K92" s="68">
        <v>2260.27</v>
      </c>
      <c r="L92" s="63">
        <f>J92/K92</f>
        <v>0.006884170917633735</v>
      </c>
      <c r="M92" s="28">
        <v>279.803</v>
      </c>
      <c r="N92" s="62">
        <f>L92*M92</f>
        <v>1.9262116752666718</v>
      </c>
      <c r="O92" s="62">
        <f>L92*60*1000</f>
        <v>413.05025505802405</v>
      </c>
      <c r="P92" s="61">
        <f>O92*M92/1000</f>
        <v>115.5727005160003</v>
      </c>
      <c r="R92" s="10"/>
      <c r="S92" s="10"/>
    </row>
    <row r="93" spans="1:19" s="9" customFormat="1" ht="12.75">
      <c r="A93" s="379"/>
      <c r="B93" s="58" t="s">
        <v>621</v>
      </c>
      <c r="C93" s="59">
        <v>30</v>
      </c>
      <c r="D93" s="22">
        <v>1972</v>
      </c>
      <c r="E93" s="71">
        <f>+F93+G93+H93</f>
        <v>23.013998</v>
      </c>
      <c r="F93" s="73">
        <v>6.316503</v>
      </c>
      <c r="G93" s="73">
        <v>4.8</v>
      </c>
      <c r="H93" s="73">
        <v>11.897495</v>
      </c>
      <c r="I93" s="69">
        <v>1720.3</v>
      </c>
      <c r="J93" s="73">
        <v>11.897495</v>
      </c>
      <c r="K93" s="69">
        <v>1720.3</v>
      </c>
      <c r="L93" s="41">
        <f>+J93/K93</f>
        <v>0.0069159419868627565</v>
      </c>
      <c r="M93" s="23">
        <v>338.118</v>
      </c>
      <c r="N93" s="23">
        <f>+L93*M93</f>
        <v>2.3384044727140614</v>
      </c>
      <c r="O93" s="23">
        <f>+L93*60*1000</f>
        <v>414.9565192117654</v>
      </c>
      <c r="P93" s="42">
        <f>+N93*60</f>
        <v>140.3042683628437</v>
      </c>
      <c r="R93" s="10"/>
      <c r="S93" s="10"/>
    </row>
    <row r="94" spans="1:16" s="9" customFormat="1" ht="12.75" customHeight="1">
      <c r="A94" s="379"/>
      <c r="B94" s="119" t="s">
        <v>652</v>
      </c>
      <c r="C94" s="34">
        <v>56</v>
      </c>
      <c r="D94" s="34">
        <v>1974</v>
      </c>
      <c r="E94" s="72">
        <v>39.076998</v>
      </c>
      <c r="F94" s="72">
        <v>5.3397</v>
      </c>
      <c r="G94" s="72">
        <v>8.8</v>
      </c>
      <c r="H94" s="72">
        <v>24.937298</v>
      </c>
      <c r="I94" s="68">
        <v>3394.62</v>
      </c>
      <c r="J94" s="72">
        <v>19.094509</v>
      </c>
      <c r="K94" s="68">
        <v>2739.68</v>
      </c>
      <c r="L94" s="63">
        <f>J94/K94</f>
        <v>0.006969612874496291</v>
      </c>
      <c r="M94" s="28">
        <v>254.2</v>
      </c>
      <c r="N94" s="62">
        <f>L94*M94</f>
        <v>1.7716755926969572</v>
      </c>
      <c r="O94" s="62">
        <f>L94*60*1000</f>
        <v>418.17677246977746</v>
      </c>
      <c r="P94" s="61">
        <f>O94*M94/1000</f>
        <v>106.30053556181743</v>
      </c>
    </row>
    <row r="95" spans="1:19" s="9" customFormat="1" ht="12.75" customHeight="1">
      <c r="A95" s="379"/>
      <c r="B95" s="119" t="s">
        <v>113</v>
      </c>
      <c r="C95" s="34">
        <v>25</v>
      </c>
      <c r="D95" s="34">
        <v>1978</v>
      </c>
      <c r="E95" s="72">
        <v>11.917</v>
      </c>
      <c r="F95" s="72">
        <v>1.938</v>
      </c>
      <c r="G95" s="72">
        <v>1</v>
      </c>
      <c r="H95" s="72">
        <v>8.979</v>
      </c>
      <c r="I95" s="68">
        <v>1284.25</v>
      </c>
      <c r="J95" s="72">
        <v>8.979</v>
      </c>
      <c r="K95" s="68">
        <v>1284.25</v>
      </c>
      <c r="L95" s="63">
        <v>0.006991</v>
      </c>
      <c r="M95" s="28">
        <v>277.1</v>
      </c>
      <c r="N95" s="62">
        <f>L95*M95*1.09</f>
        <v>2.1115546490000003</v>
      </c>
      <c r="O95" s="62">
        <f>L95*60*1000</f>
        <v>419.46</v>
      </c>
      <c r="P95" s="61">
        <f>O95*M95/1000</f>
        <v>116.23236600000001</v>
      </c>
      <c r="R95" s="10"/>
      <c r="S95" s="10"/>
    </row>
    <row r="96" spans="1:16" s="9" customFormat="1" ht="12.75" customHeight="1">
      <c r="A96" s="379"/>
      <c r="B96" s="122" t="s">
        <v>234</v>
      </c>
      <c r="C96" s="34">
        <v>54</v>
      </c>
      <c r="D96" s="34">
        <v>1981</v>
      </c>
      <c r="E96" s="72">
        <v>34.5</v>
      </c>
      <c r="F96" s="72">
        <v>5.042</v>
      </c>
      <c r="G96" s="72">
        <v>8.64</v>
      </c>
      <c r="H96" s="72">
        <v>20.818</v>
      </c>
      <c r="I96" s="28">
        <v>2960.66</v>
      </c>
      <c r="J96" s="72">
        <v>20.371</v>
      </c>
      <c r="K96" s="28">
        <v>2897.11</v>
      </c>
      <c r="L96" s="63">
        <f>J96/K96</f>
        <v>0.007031490002105545</v>
      </c>
      <c r="M96" s="28">
        <v>302.3</v>
      </c>
      <c r="N96" s="62">
        <f>L96*M96</f>
        <v>2.1256194276365066</v>
      </c>
      <c r="O96" s="62">
        <f>L96*60*1000</f>
        <v>421.88940012633276</v>
      </c>
      <c r="P96" s="61">
        <f>O96*M96/1000</f>
        <v>127.53716565819039</v>
      </c>
    </row>
    <row r="97" spans="1:19" s="9" customFormat="1" ht="12.75" customHeight="1">
      <c r="A97" s="379"/>
      <c r="B97" s="58" t="s">
        <v>622</v>
      </c>
      <c r="C97" s="59">
        <v>61</v>
      </c>
      <c r="D97" s="22">
        <v>1970</v>
      </c>
      <c r="E97" s="71">
        <f>+F97+G97+H97</f>
        <v>41.720995</v>
      </c>
      <c r="F97" s="73">
        <v>9.811738</v>
      </c>
      <c r="G97" s="73">
        <v>9.6</v>
      </c>
      <c r="H97" s="73">
        <v>22.309257</v>
      </c>
      <c r="I97" s="69">
        <v>3138.23</v>
      </c>
      <c r="J97" s="73">
        <v>22.309257</v>
      </c>
      <c r="K97" s="69">
        <v>3138.23</v>
      </c>
      <c r="L97" s="41">
        <f>+J97/K97</f>
        <v>0.007108866144291527</v>
      </c>
      <c r="M97" s="23">
        <v>338.118</v>
      </c>
      <c r="N97" s="23">
        <f>+L97*M97</f>
        <v>2.4036356029755623</v>
      </c>
      <c r="O97" s="23">
        <f>+L97*60*1000</f>
        <v>426.5319686574916</v>
      </c>
      <c r="P97" s="42">
        <f>+N97*60</f>
        <v>144.21813617853374</v>
      </c>
      <c r="R97" s="10"/>
      <c r="S97" s="10"/>
    </row>
    <row r="98" spans="1:19" s="9" customFormat="1" ht="12.75" customHeight="1">
      <c r="A98" s="379"/>
      <c r="B98" s="319" t="s">
        <v>1004</v>
      </c>
      <c r="C98" s="288">
        <v>119</v>
      </c>
      <c r="D98" s="289" t="s">
        <v>24</v>
      </c>
      <c r="E98" s="293">
        <v>73.28</v>
      </c>
      <c r="F98" s="293">
        <v>13.32</v>
      </c>
      <c r="G98" s="291">
        <v>19.04</v>
      </c>
      <c r="H98" s="293">
        <v>40.92</v>
      </c>
      <c r="I98" s="292">
        <v>5726.62</v>
      </c>
      <c r="J98" s="293">
        <v>40.92</v>
      </c>
      <c r="K98" s="292">
        <v>5726.62</v>
      </c>
      <c r="L98" s="63">
        <f>J98/K98</f>
        <v>0.007145576273613406</v>
      </c>
      <c r="M98" s="28">
        <v>269.2</v>
      </c>
      <c r="N98" s="62">
        <f>L98*M98</f>
        <v>1.923589132856729</v>
      </c>
      <c r="O98" s="62">
        <f>L98*60*1000</f>
        <v>428.7345764168044</v>
      </c>
      <c r="P98" s="61">
        <f>O98*M98/1000</f>
        <v>115.41534797140373</v>
      </c>
      <c r="R98" s="10"/>
      <c r="S98" s="10"/>
    </row>
    <row r="99" spans="1:22" s="9" customFormat="1" ht="12.75">
      <c r="A99" s="379"/>
      <c r="B99" s="58" t="s">
        <v>98</v>
      </c>
      <c r="C99" s="59">
        <v>93</v>
      </c>
      <c r="D99" s="22">
        <v>1973</v>
      </c>
      <c r="E99" s="71">
        <f>+F99+G99+H99</f>
        <v>55.815020000000004</v>
      </c>
      <c r="F99" s="73">
        <v>9.04508</v>
      </c>
      <c r="G99" s="73">
        <v>14.4</v>
      </c>
      <c r="H99" s="73">
        <v>32.36994</v>
      </c>
      <c r="I99" s="69">
        <v>4520.3</v>
      </c>
      <c r="J99" s="73">
        <v>32.36994</v>
      </c>
      <c r="K99" s="69">
        <v>4520.3</v>
      </c>
      <c r="L99" s="41">
        <f>+J99/K99</f>
        <v>0.007161015861779085</v>
      </c>
      <c r="M99" s="23">
        <v>338.118</v>
      </c>
      <c r="N99" s="23">
        <f>+L99*M99</f>
        <v>2.421268361153021</v>
      </c>
      <c r="O99" s="23">
        <f>+L99*60*1000</f>
        <v>429.6609517067451</v>
      </c>
      <c r="P99" s="42">
        <f>+N99*60</f>
        <v>145.27610166918126</v>
      </c>
      <c r="Q99" s="10"/>
      <c r="R99" s="10"/>
      <c r="S99" s="10"/>
      <c r="T99" s="12"/>
      <c r="U99" s="13"/>
      <c r="V99" s="13"/>
    </row>
    <row r="100" spans="1:19" s="9" customFormat="1" ht="12.75">
      <c r="A100" s="379"/>
      <c r="B100" s="40" t="s">
        <v>87</v>
      </c>
      <c r="C100" s="22">
        <v>100</v>
      </c>
      <c r="D100" s="22">
        <v>1972</v>
      </c>
      <c r="E100" s="71">
        <v>57.48</v>
      </c>
      <c r="F100" s="71">
        <v>13.19</v>
      </c>
      <c r="G100" s="71">
        <v>12.4</v>
      </c>
      <c r="H100" s="71">
        <v>31.84</v>
      </c>
      <c r="I100" s="31">
        <v>4426.6</v>
      </c>
      <c r="J100" s="71">
        <f>H100/I100*K100</f>
        <v>31.842877151764334</v>
      </c>
      <c r="K100" s="22">
        <v>4427</v>
      </c>
      <c r="L100" s="41">
        <f>J100/K100</f>
        <v>0.0071928794108345</v>
      </c>
      <c r="M100" s="265">
        <f>294.4*1.09</f>
        <v>320.896</v>
      </c>
      <c r="N100" s="23">
        <f>L100*M100</f>
        <v>2.308166231419148</v>
      </c>
      <c r="O100" s="23">
        <f>L100*60*1000</f>
        <v>431.57276465007</v>
      </c>
      <c r="P100" s="42">
        <f>O100*M100/1000</f>
        <v>138.48997388514886</v>
      </c>
      <c r="R100" s="10"/>
      <c r="S100" s="10"/>
    </row>
    <row r="101" spans="1:19" s="9" customFormat="1" ht="12.75">
      <c r="A101" s="379"/>
      <c r="B101" s="58" t="s">
        <v>194</v>
      </c>
      <c r="C101" s="59">
        <v>34</v>
      </c>
      <c r="D101" s="22">
        <v>2001</v>
      </c>
      <c r="E101" s="71">
        <f>+F101+G101+H101</f>
        <v>21.486999000000004</v>
      </c>
      <c r="F101" s="73">
        <v>3.3818400000000004</v>
      </c>
      <c r="G101" s="73">
        <v>5.44</v>
      </c>
      <c r="H101" s="73">
        <v>12.665159000000001</v>
      </c>
      <c r="I101" s="69">
        <v>1747.92</v>
      </c>
      <c r="J101" s="73">
        <v>12.665159000000001</v>
      </c>
      <c r="K101" s="69">
        <v>1747.92</v>
      </c>
      <c r="L101" s="41">
        <f>+J101/K101</f>
        <v>0.007245845919721727</v>
      </c>
      <c r="M101" s="23">
        <v>333.213</v>
      </c>
      <c r="N101" s="23">
        <f>+L101*M101</f>
        <v>2.414410056448236</v>
      </c>
      <c r="O101" s="23">
        <f>+L101*60*1000</f>
        <v>434.75075518330357</v>
      </c>
      <c r="P101" s="42">
        <f>+N101*60</f>
        <v>144.86460338689417</v>
      </c>
      <c r="R101" s="10"/>
      <c r="S101" s="10"/>
    </row>
    <row r="102" spans="1:19" s="9" customFormat="1" ht="12.75">
      <c r="A102" s="379"/>
      <c r="B102" s="40" t="s">
        <v>52</v>
      </c>
      <c r="C102" s="22">
        <v>39</v>
      </c>
      <c r="D102" s="22">
        <v>2007</v>
      </c>
      <c r="E102" s="71">
        <v>26.35</v>
      </c>
      <c r="F102" s="71">
        <v>7.14</v>
      </c>
      <c r="G102" s="71">
        <v>1.87</v>
      </c>
      <c r="H102" s="71">
        <f>E102-F102-G102</f>
        <v>17.34</v>
      </c>
      <c r="I102" s="31">
        <v>2368.8</v>
      </c>
      <c r="J102" s="71">
        <f>H102/I102*K102</f>
        <v>17.341464032421477</v>
      </c>
      <c r="K102" s="22">
        <v>2369</v>
      </c>
      <c r="L102" s="41">
        <f>J102/K102</f>
        <v>0.007320162107396149</v>
      </c>
      <c r="M102" s="265">
        <f>294.4*1.09</f>
        <v>320.896</v>
      </c>
      <c r="N102" s="23">
        <f>L102*M102</f>
        <v>2.349010739614995</v>
      </c>
      <c r="O102" s="23">
        <f>L102*60*1000</f>
        <v>439.20972644376894</v>
      </c>
      <c r="P102" s="42">
        <f>O102*M102/1000</f>
        <v>140.94064437689968</v>
      </c>
      <c r="R102" s="10"/>
      <c r="S102" s="10"/>
    </row>
    <row r="103" spans="1:16" s="9" customFormat="1" ht="12.75" customHeight="1">
      <c r="A103" s="379"/>
      <c r="B103" s="40" t="s">
        <v>263</v>
      </c>
      <c r="C103" s="22">
        <v>21</v>
      </c>
      <c r="D103" s="22">
        <v>2005</v>
      </c>
      <c r="E103" s="71">
        <v>20.305</v>
      </c>
      <c r="F103" s="71">
        <v>5.625642</v>
      </c>
      <c r="G103" s="71">
        <v>1.68</v>
      </c>
      <c r="H103" s="71">
        <v>12.999358</v>
      </c>
      <c r="I103" s="31">
        <v>1763.36</v>
      </c>
      <c r="J103" s="71">
        <v>12.999358</v>
      </c>
      <c r="K103" s="31">
        <v>1763.36</v>
      </c>
      <c r="L103" s="41">
        <f>J103/K103</f>
        <v>0.007371925188276927</v>
      </c>
      <c r="M103" s="22">
        <v>298.66</v>
      </c>
      <c r="N103" s="23">
        <f>L103*M103</f>
        <v>2.201699176730787</v>
      </c>
      <c r="O103" s="23">
        <f>L103*60*1000</f>
        <v>442.3155112966156</v>
      </c>
      <c r="P103" s="42">
        <f>O103*M103/1000</f>
        <v>132.10195060384726</v>
      </c>
    </row>
    <row r="104" spans="1:19" s="9" customFormat="1" ht="12.75">
      <c r="A104" s="379"/>
      <c r="B104" s="119" t="s">
        <v>564</v>
      </c>
      <c r="C104" s="34">
        <v>60</v>
      </c>
      <c r="D104" s="34">
        <v>1972</v>
      </c>
      <c r="E104" s="72">
        <v>32.248</v>
      </c>
      <c r="F104" s="72">
        <v>3.28256</v>
      </c>
      <c r="G104" s="72">
        <v>5.97</v>
      </c>
      <c r="H104" s="72">
        <f>E104-F104-G104</f>
        <v>22.99544</v>
      </c>
      <c r="I104" s="68">
        <v>3118</v>
      </c>
      <c r="J104" s="72">
        <f>H104</f>
        <v>22.99544</v>
      </c>
      <c r="K104" s="68">
        <f>I104</f>
        <v>3118</v>
      </c>
      <c r="L104" s="63">
        <f>J104/K104</f>
        <v>0.0073750609364977545</v>
      </c>
      <c r="M104" s="28">
        <v>279.5</v>
      </c>
      <c r="N104" s="62">
        <f>L104*M104</f>
        <v>2.0613295317511224</v>
      </c>
      <c r="O104" s="62">
        <f>L104*60*1000</f>
        <v>442.50365618986524</v>
      </c>
      <c r="P104" s="61">
        <f>O104*M104/1000</f>
        <v>123.67977190506733</v>
      </c>
      <c r="R104" s="10"/>
      <c r="S104" s="10"/>
    </row>
    <row r="105" spans="1:19" s="9" customFormat="1" ht="12.75" customHeight="1">
      <c r="A105" s="379"/>
      <c r="B105" s="119" t="s">
        <v>873</v>
      </c>
      <c r="C105" s="34">
        <v>45</v>
      </c>
      <c r="D105" s="34" t="s">
        <v>156</v>
      </c>
      <c r="E105" s="259"/>
      <c r="F105" s="72">
        <v>3.363438</v>
      </c>
      <c r="G105" s="72">
        <v>6.48</v>
      </c>
      <c r="H105" s="72">
        <v>17.305891</v>
      </c>
      <c r="I105" s="68">
        <v>2324.7</v>
      </c>
      <c r="J105" s="72">
        <v>17.305891</v>
      </c>
      <c r="K105" s="68">
        <v>2324.7</v>
      </c>
      <c r="L105" s="63">
        <f>J105/K105</f>
        <v>0.0074443545403708004</v>
      </c>
      <c r="M105" s="28">
        <v>279.803</v>
      </c>
      <c r="N105" s="62">
        <f>L105*M105</f>
        <v>2.082952733459371</v>
      </c>
      <c r="O105" s="62">
        <f>L105*60*1000</f>
        <v>446.66127242224803</v>
      </c>
      <c r="P105" s="61">
        <f>O105*M105/1000</f>
        <v>124.97716400756227</v>
      </c>
      <c r="R105" s="10"/>
      <c r="S105" s="10"/>
    </row>
    <row r="106" spans="1:19" s="9" customFormat="1" ht="12.75">
      <c r="A106" s="379"/>
      <c r="B106" s="119" t="s">
        <v>696</v>
      </c>
      <c r="C106" s="34">
        <v>75</v>
      </c>
      <c r="D106" s="34" t="s">
        <v>24</v>
      </c>
      <c r="E106" s="72">
        <v>48.6</v>
      </c>
      <c r="F106" s="72">
        <v>6.78</v>
      </c>
      <c r="G106" s="72">
        <v>11.84</v>
      </c>
      <c r="H106" s="72">
        <v>29.98</v>
      </c>
      <c r="I106" s="68">
        <v>3993</v>
      </c>
      <c r="J106" s="72">
        <v>29.98</v>
      </c>
      <c r="K106" s="68">
        <v>3993</v>
      </c>
      <c r="L106" s="63">
        <f>J106/K106</f>
        <v>0.007508139243676434</v>
      </c>
      <c r="M106" s="28">
        <v>234.2</v>
      </c>
      <c r="N106" s="62">
        <f>L106*M106</f>
        <v>1.7584062108690206</v>
      </c>
      <c r="O106" s="62">
        <f>L106*60*1000</f>
        <v>450.488354620586</v>
      </c>
      <c r="P106" s="61">
        <f>O106*M106/1000</f>
        <v>105.50437265214123</v>
      </c>
      <c r="R106" s="10"/>
      <c r="S106" s="10"/>
    </row>
    <row r="107" spans="1:19" s="9" customFormat="1" ht="12.75">
      <c r="A107" s="379"/>
      <c r="B107" s="119" t="s">
        <v>251</v>
      </c>
      <c r="C107" s="34">
        <v>20</v>
      </c>
      <c r="D107" s="34">
        <v>2011</v>
      </c>
      <c r="E107" s="72">
        <v>11.8</v>
      </c>
      <c r="F107" s="72">
        <v>2.5</v>
      </c>
      <c r="G107" s="72">
        <v>0.9</v>
      </c>
      <c r="H107" s="72">
        <f>+E107-F107-G107</f>
        <v>8.4</v>
      </c>
      <c r="I107" s="259"/>
      <c r="J107" s="72">
        <f>+H107</f>
        <v>8.4</v>
      </c>
      <c r="K107" s="68">
        <v>1113.2</v>
      </c>
      <c r="L107" s="63">
        <f>J107/K107</f>
        <v>0.007545813869924542</v>
      </c>
      <c r="M107" s="28">
        <v>343.2</v>
      </c>
      <c r="N107" s="62">
        <f>L107*M107</f>
        <v>2.589723320158103</v>
      </c>
      <c r="O107" s="62">
        <f>L107*60*1000</f>
        <v>452.7488321954725</v>
      </c>
      <c r="P107" s="61">
        <f>O107*M107/1000</f>
        <v>155.38339920948619</v>
      </c>
      <c r="R107" s="10"/>
      <c r="S107" s="10"/>
    </row>
    <row r="108" spans="1:19" s="9" customFormat="1" ht="12.75" customHeight="1">
      <c r="A108" s="379"/>
      <c r="B108" s="319" t="s">
        <v>1005</v>
      </c>
      <c r="C108" s="288">
        <v>88</v>
      </c>
      <c r="D108" s="289">
        <v>2007</v>
      </c>
      <c r="E108" s="290">
        <v>47.68</v>
      </c>
      <c r="F108" s="290">
        <v>0</v>
      </c>
      <c r="G108" s="291">
        <v>0</v>
      </c>
      <c r="H108" s="290">
        <v>47.676</v>
      </c>
      <c r="I108" s="294">
        <v>6315.31</v>
      </c>
      <c r="J108" s="290">
        <v>47.676</v>
      </c>
      <c r="K108" s="294">
        <v>6315.31</v>
      </c>
      <c r="L108" s="63">
        <f>J108/K108</f>
        <v>0.007549273115650696</v>
      </c>
      <c r="M108" s="28">
        <v>269.2</v>
      </c>
      <c r="N108" s="62">
        <f>L108*M108</f>
        <v>2.0322643227331674</v>
      </c>
      <c r="O108" s="62">
        <f>L108*60*1000</f>
        <v>452.95638693904175</v>
      </c>
      <c r="P108" s="61">
        <f>O108*M108/1000</f>
        <v>121.93585936399003</v>
      </c>
      <c r="R108" s="10"/>
      <c r="S108" s="10"/>
    </row>
    <row r="109" spans="1:19" s="9" customFormat="1" ht="12.75" customHeight="1">
      <c r="A109" s="379"/>
      <c r="B109" s="119" t="s">
        <v>763</v>
      </c>
      <c r="C109" s="34">
        <v>6</v>
      </c>
      <c r="D109" s="34">
        <v>1956</v>
      </c>
      <c r="E109" s="72">
        <v>3.8</v>
      </c>
      <c r="F109" s="72">
        <v>0.843</v>
      </c>
      <c r="G109" s="72">
        <v>0.96</v>
      </c>
      <c r="H109" s="72">
        <v>1.99</v>
      </c>
      <c r="I109" s="68">
        <v>264.64</v>
      </c>
      <c r="J109" s="72">
        <v>2</v>
      </c>
      <c r="K109" s="68">
        <v>264.6</v>
      </c>
      <c r="L109" s="63">
        <f>J109/K109</f>
        <v>0.007558578987150415</v>
      </c>
      <c r="M109" s="28">
        <v>224.1</v>
      </c>
      <c r="N109" s="62">
        <f>L109*M109</f>
        <v>1.693877551020408</v>
      </c>
      <c r="O109" s="62">
        <f>L109*60*1000</f>
        <v>453.5147392290249</v>
      </c>
      <c r="P109" s="61">
        <f>O109*M109/1000</f>
        <v>101.63265306122447</v>
      </c>
      <c r="R109" s="10"/>
      <c r="S109" s="10"/>
    </row>
    <row r="110" spans="1:19" s="9" customFormat="1" ht="12.75" customHeight="1">
      <c r="A110" s="379"/>
      <c r="B110" s="119" t="s">
        <v>799</v>
      </c>
      <c r="C110" s="34">
        <v>8</v>
      </c>
      <c r="D110" s="34" t="s">
        <v>24</v>
      </c>
      <c r="E110" s="72">
        <f>F110+G110+H110</f>
        <v>6.168</v>
      </c>
      <c r="F110" s="72">
        <v>0.729</v>
      </c>
      <c r="G110" s="72">
        <v>0.64</v>
      </c>
      <c r="H110" s="72">
        <v>4.799</v>
      </c>
      <c r="I110" s="68">
        <v>633.84</v>
      </c>
      <c r="J110" s="72">
        <v>4.799</v>
      </c>
      <c r="K110" s="68">
        <v>633.84</v>
      </c>
      <c r="L110" s="63">
        <f>J110/K110</f>
        <v>0.007571311371955068</v>
      </c>
      <c r="M110" s="28">
        <v>351.85</v>
      </c>
      <c r="N110" s="62">
        <f>L110*M110</f>
        <v>2.663965906222391</v>
      </c>
      <c r="O110" s="62">
        <f>L110*60*1000</f>
        <v>454.27868231730406</v>
      </c>
      <c r="P110" s="61">
        <f>O110*M110/1000</f>
        <v>159.83795437334345</v>
      </c>
      <c r="R110" s="10"/>
      <c r="S110" s="10"/>
    </row>
    <row r="111" spans="1:19" s="9" customFormat="1" ht="12.75" customHeight="1">
      <c r="A111" s="379"/>
      <c r="B111" s="320" t="s">
        <v>1006</v>
      </c>
      <c r="C111" s="288">
        <v>60</v>
      </c>
      <c r="D111" s="289" t="s">
        <v>24</v>
      </c>
      <c r="E111" s="290">
        <v>34.7</v>
      </c>
      <c r="F111" s="290">
        <v>4.28</v>
      </c>
      <c r="G111" s="291">
        <v>9.6</v>
      </c>
      <c r="H111" s="290">
        <v>20.82</v>
      </c>
      <c r="I111" s="292">
        <v>2723.9</v>
      </c>
      <c r="J111" s="290">
        <v>20.82</v>
      </c>
      <c r="K111" s="292">
        <v>2723.9</v>
      </c>
      <c r="L111" s="63">
        <f>J111/K111</f>
        <v>0.007643452402804802</v>
      </c>
      <c r="M111" s="28">
        <v>269.2</v>
      </c>
      <c r="N111" s="62">
        <f>L111*M111</f>
        <v>2.0576173868350525</v>
      </c>
      <c r="O111" s="62">
        <f>L111*60*1000</f>
        <v>458.60714416828813</v>
      </c>
      <c r="P111" s="61">
        <f>O111*M111/1000</f>
        <v>123.45704321010317</v>
      </c>
      <c r="Q111" s="11"/>
      <c r="R111" s="10"/>
      <c r="S111" s="10"/>
    </row>
    <row r="112" spans="1:19" s="9" customFormat="1" ht="12.75" customHeight="1">
      <c r="A112" s="379"/>
      <c r="B112" s="119" t="s">
        <v>654</v>
      </c>
      <c r="C112" s="34">
        <v>16</v>
      </c>
      <c r="D112" s="34">
        <v>1984</v>
      </c>
      <c r="E112" s="72">
        <v>8.479256</v>
      </c>
      <c r="F112" s="72">
        <v>0.714</v>
      </c>
      <c r="G112" s="72">
        <v>1.76</v>
      </c>
      <c r="H112" s="72">
        <v>6.005256</v>
      </c>
      <c r="I112" s="68">
        <v>766.75</v>
      </c>
      <c r="J112" s="72">
        <v>4.660532</v>
      </c>
      <c r="K112" s="68">
        <v>609.7</v>
      </c>
      <c r="L112" s="63">
        <f>J112/K112</f>
        <v>0.0076439757257667695</v>
      </c>
      <c r="M112" s="28">
        <v>254.2</v>
      </c>
      <c r="N112" s="62">
        <f>L112*M112</f>
        <v>1.9430986294899126</v>
      </c>
      <c r="O112" s="62">
        <f>L112*60*1000</f>
        <v>458.6385435460062</v>
      </c>
      <c r="P112" s="61">
        <f>O112*M112/1000</f>
        <v>116.58591776939477</v>
      </c>
      <c r="R112" s="10"/>
      <c r="S112" s="10"/>
    </row>
    <row r="113" spans="1:19" s="9" customFormat="1" ht="12.75" customHeight="1">
      <c r="A113" s="379"/>
      <c r="B113" s="119" t="s">
        <v>298</v>
      </c>
      <c r="C113" s="34">
        <v>9</v>
      </c>
      <c r="D113" s="34">
        <v>2006</v>
      </c>
      <c r="E113" s="72">
        <v>8.895</v>
      </c>
      <c r="F113" s="72">
        <v>0.665</v>
      </c>
      <c r="G113" s="72">
        <v>1.44</v>
      </c>
      <c r="H113" s="72">
        <v>6.79</v>
      </c>
      <c r="I113" s="68">
        <v>887.8</v>
      </c>
      <c r="J113" s="72">
        <v>4.448851</v>
      </c>
      <c r="K113" s="68">
        <v>560.62</v>
      </c>
      <c r="L113" s="63">
        <v>0.0076481</v>
      </c>
      <c r="M113" s="28">
        <v>277.1</v>
      </c>
      <c r="N113" s="62">
        <f>L113*M113*1.09</f>
        <v>2.3100244759</v>
      </c>
      <c r="O113" s="62">
        <f>L113*60*1000</f>
        <v>458.88599999999997</v>
      </c>
      <c r="P113" s="61">
        <f>O113*M113/1000</f>
        <v>127.1573106</v>
      </c>
      <c r="R113" s="10"/>
      <c r="S113" s="10"/>
    </row>
    <row r="114" spans="1:19" s="9" customFormat="1" ht="13.5" customHeight="1">
      <c r="A114" s="379"/>
      <c r="B114" s="58" t="s">
        <v>236</v>
      </c>
      <c r="C114" s="59">
        <v>10</v>
      </c>
      <c r="D114" s="22">
        <v>1994</v>
      </c>
      <c r="E114" s="71">
        <f>+F114+G114+H114</f>
        <v>10.038799000000001</v>
      </c>
      <c r="F114" s="73">
        <v>0.91256</v>
      </c>
      <c r="G114" s="73">
        <v>1.6</v>
      </c>
      <c r="H114" s="73">
        <v>7.526239</v>
      </c>
      <c r="I114" s="69">
        <v>1100.65</v>
      </c>
      <c r="J114" s="73">
        <v>7.526239</v>
      </c>
      <c r="K114" s="69">
        <v>982.46</v>
      </c>
      <c r="L114" s="41">
        <f>+J114/K114</f>
        <v>0.007660606029762026</v>
      </c>
      <c r="M114" s="23">
        <v>338.118</v>
      </c>
      <c r="N114" s="23">
        <f>+L114*M114</f>
        <v>2.5901887895710765</v>
      </c>
      <c r="O114" s="23">
        <f>+L114*60*1000</f>
        <v>459.63636178572153</v>
      </c>
      <c r="P114" s="42">
        <f>+N114*60</f>
        <v>155.4113273742646</v>
      </c>
      <c r="R114" s="10"/>
      <c r="S114" s="10"/>
    </row>
    <row r="115" spans="1:19" s="9" customFormat="1" ht="12.75" customHeight="1">
      <c r="A115" s="379"/>
      <c r="B115" s="319" t="s">
        <v>1007</v>
      </c>
      <c r="C115" s="288">
        <v>99</v>
      </c>
      <c r="D115" s="289" t="s">
        <v>24</v>
      </c>
      <c r="E115" s="293">
        <v>60.73</v>
      </c>
      <c r="F115" s="293">
        <v>10.66</v>
      </c>
      <c r="G115" s="291">
        <v>15.92</v>
      </c>
      <c r="H115" s="293">
        <v>34.15</v>
      </c>
      <c r="I115" s="294">
        <v>4437.03</v>
      </c>
      <c r="J115" s="293">
        <v>33.71</v>
      </c>
      <c r="K115" s="292">
        <v>4388.03</v>
      </c>
      <c r="L115" s="63">
        <f>J115/K115</f>
        <v>0.007682262883344007</v>
      </c>
      <c r="M115" s="28">
        <v>269.2</v>
      </c>
      <c r="N115" s="62">
        <f>L115*M115</f>
        <v>2.0680651681962066</v>
      </c>
      <c r="O115" s="62">
        <f>L115*60*1000</f>
        <v>460.93577300064044</v>
      </c>
      <c r="P115" s="61">
        <f>O115*M115/1000</f>
        <v>124.0839100917724</v>
      </c>
      <c r="R115" s="10"/>
      <c r="S115" s="10"/>
    </row>
    <row r="116" spans="1:19" s="9" customFormat="1" ht="12.75" customHeight="1">
      <c r="A116" s="379"/>
      <c r="B116" s="58" t="s">
        <v>623</v>
      </c>
      <c r="C116" s="59">
        <v>124</v>
      </c>
      <c r="D116" s="22">
        <v>1966</v>
      </c>
      <c r="E116" s="71">
        <f>+F116+G116+H116</f>
        <v>32.64609300000001</v>
      </c>
      <c r="F116" s="73">
        <v>3.907477</v>
      </c>
      <c r="G116" s="73">
        <v>0</v>
      </c>
      <c r="H116" s="73">
        <v>28.738616000000004</v>
      </c>
      <c r="I116" s="69">
        <v>3778.5</v>
      </c>
      <c r="J116" s="73">
        <v>28.738616000000004</v>
      </c>
      <c r="K116" s="69">
        <v>3729.33</v>
      </c>
      <c r="L116" s="41">
        <f>+J116/K116</f>
        <v>0.007706106995090272</v>
      </c>
      <c r="M116" s="23">
        <v>338.118</v>
      </c>
      <c r="N116" s="23">
        <f>+L116*M116</f>
        <v>2.6055734849659324</v>
      </c>
      <c r="O116" s="23">
        <f>+L116*60*1000</f>
        <v>462.3664197054163</v>
      </c>
      <c r="P116" s="42">
        <f>+N116*60</f>
        <v>156.33440909795596</v>
      </c>
      <c r="R116" s="10"/>
      <c r="S116" s="10"/>
    </row>
    <row r="117" spans="1:19" s="9" customFormat="1" ht="12.75" customHeight="1">
      <c r="A117" s="379"/>
      <c r="B117" s="40" t="s">
        <v>91</v>
      </c>
      <c r="C117" s="22">
        <v>54</v>
      </c>
      <c r="D117" s="22">
        <v>1980</v>
      </c>
      <c r="E117" s="71">
        <v>49.18</v>
      </c>
      <c r="F117" s="71">
        <v>7.01</v>
      </c>
      <c r="G117" s="71">
        <v>15.1</v>
      </c>
      <c r="H117" s="71">
        <v>27.07</v>
      </c>
      <c r="I117" s="31">
        <v>3508.9</v>
      </c>
      <c r="J117" s="71">
        <f>H117/I117*K117</f>
        <v>27.07077146684146</v>
      </c>
      <c r="K117" s="22">
        <v>3509</v>
      </c>
      <c r="L117" s="41">
        <f>J117/K117</f>
        <v>0.007714668414602867</v>
      </c>
      <c r="M117" s="265">
        <f>294.4*1.09</f>
        <v>320.896</v>
      </c>
      <c r="N117" s="23">
        <f>L117*M117</f>
        <v>2.4756062355724016</v>
      </c>
      <c r="O117" s="23">
        <f>L117*60*1000</f>
        <v>462.880104876172</v>
      </c>
      <c r="P117" s="42">
        <f>O117*M117/1000</f>
        <v>148.5363741343441</v>
      </c>
      <c r="Q117" s="11"/>
      <c r="R117" s="10"/>
      <c r="S117" s="10"/>
    </row>
    <row r="118" spans="1:19" s="9" customFormat="1" ht="12.75" customHeight="1">
      <c r="A118" s="379"/>
      <c r="B118" s="119" t="s">
        <v>653</v>
      </c>
      <c r="C118" s="34">
        <v>12</v>
      </c>
      <c r="D118" s="34">
        <v>1960</v>
      </c>
      <c r="E118" s="72">
        <v>6.593994</v>
      </c>
      <c r="F118" s="72">
        <v>0.6375</v>
      </c>
      <c r="G118" s="72">
        <v>1.84</v>
      </c>
      <c r="H118" s="72">
        <v>4.116494</v>
      </c>
      <c r="I118" s="68">
        <v>536.88</v>
      </c>
      <c r="J118" s="72">
        <v>3.093234</v>
      </c>
      <c r="K118" s="68">
        <v>400.83</v>
      </c>
      <c r="L118" s="63">
        <f>J118/K118</f>
        <v>0.007717072075443455</v>
      </c>
      <c r="M118" s="28">
        <v>254.2</v>
      </c>
      <c r="N118" s="62">
        <f>L118*M118</f>
        <v>1.961679721577726</v>
      </c>
      <c r="O118" s="62">
        <f>L118*60*1000</f>
        <v>463.0243245266073</v>
      </c>
      <c r="P118" s="61">
        <f>O118*M118/1000</f>
        <v>117.70078329466358</v>
      </c>
      <c r="R118" s="10"/>
      <c r="S118" s="10"/>
    </row>
    <row r="119" spans="1:19" s="9" customFormat="1" ht="12.75" customHeight="1">
      <c r="A119" s="379"/>
      <c r="B119" s="119" t="s">
        <v>874</v>
      </c>
      <c r="C119" s="34">
        <v>40</v>
      </c>
      <c r="D119" s="34" t="s">
        <v>156</v>
      </c>
      <c r="E119" s="259"/>
      <c r="F119" s="72">
        <v>4.368252</v>
      </c>
      <c r="G119" s="72">
        <v>6.32</v>
      </c>
      <c r="H119" s="72">
        <v>18.311381</v>
      </c>
      <c r="I119" s="68">
        <v>2370.01</v>
      </c>
      <c r="J119" s="72">
        <v>18.3011381</v>
      </c>
      <c r="K119" s="68">
        <v>2370.01</v>
      </c>
      <c r="L119" s="63">
        <f>J119/K119</f>
        <v>0.007721966616174614</v>
      </c>
      <c r="M119" s="28">
        <v>279.803</v>
      </c>
      <c r="N119" s="62">
        <f>L119*M119</f>
        <v>2.1606294251055056</v>
      </c>
      <c r="O119" s="62">
        <f>L119*60*1000</f>
        <v>463.3179969704769</v>
      </c>
      <c r="P119" s="61">
        <f>O119*M119/1000</f>
        <v>129.63776550633034</v>
      </c>
      <c r="R119" s="10"/>
      <c r="S119" s="10"/>
    </row>
    <row r="120" spans="1:19" s="9" customFormat="1" ht="12.75" customHeight="1">
      <c r="A120" s="379"/>
      <c r="B120" s="119" t="s">
        <v>875</v>
      </c>
      <c r="C120" s="34">
        <v>8</v>
      </c>
      <c r="D120" s="34" t="s">
        <v>156</v>
      </c>
      <c r="E120" s="259"/>
      <c r="F120" s="72">
        <v>0</v>
      </c>
      <c r="G120" s="72">
        <v>0</v>
      </c>
      <c r="H120" s="72">
        <v>3.766</v>
      </c>
      <c r="I120" s="68">
        <v>487.4</v>
      </c>
      <c r="J120" s="72">
        <v>3.766</v>
      </c>
      <c r="K120" s="68">
        <v>487.4</v>
      </c>
      <c r="L120" s="63">
        <f>J120/K120</f>
        <v>0.007726713171932705</v>
      </c>
      <c r="M120" s="28">
        <v>279.803</v>
      </c>
      <c r="N120" s="62">
        <f>L120*M120</f>
        <v>2.1619575256462866</v>
      </c>
      <c r="O120" s="62">
        <f>L120*60*1000</f>
        <v>463.6027903159623</v>
      </c>
      <c r="P120" s="61">
        <f>O120*M120/1000</f>
        <v>129.7174515387772</v>
      </c>
      <c r="R120" s="10"/>
      <c r="S120" s="10"/>
    </row>
    <row r="121" spans="1:16" s="9" customFormat="1" ht="12.75" customHeight="1">
      <c r="A121" s="379"/>
      <c r="B121" s="40" t="s">
        <v>88</v>
      </c>
      <c r="C121" s="22">
        <v>61</v>
      </c>
      <c r="D121" s="22">
        <v>1973</v>
      </c>
      <c r="E121" s="71">
        <v>32.84</v>
      </c>
      <c r="F121" s="71">
        <v>7</v>
      </c>
      <c r="G121" s="71">
        <v>5.1</v>
      </c>
      <c r="H121" s="71">
        <v>20.74</v>
      </c>
      <c r="I121" s="31">
        <v>2678.3</v>
      </c>
      <c r="J121" s="71">
        <f>H121/I121*K121</f>
        <v>20.737676884590968</v>
      </c>
      <c r="K121" s="22">
        <v>2678</v>
      </c>
      <c r="L121" s="41">
        <f>J121/K121</f>
        <v>0.007743718030093715</v>
      </c>
      <c r="M121" s="265">
        <f>294.4*1.09</f>
        <v>320.896</v>
      </c>
      <c r="N121" s="23">
        <f>L121*M121</f>
        <v>2.484928140984953</v>
      </c>
      <c r="O121" s="23">
        <f>L121*60*1000</f>
        <v>464.6230818056229</v>
      </c>
      <c r="P121" s="42">
        <f>O121*M121/1000</f>
        <v>149.09568845909718</v>
      </c>
    </row>
    <row r="122" spans="1:19" s="9" customFormat="1" ht="12.75" customHeight="1">
      <c r="A122" s="379"/>
      <c r="B122" s="58" t="s">
        <v>624</v>
      </c>
      <c r="C122" s="59">
        <v>111</v>
      </c>
      <c r="D122" s="22">
        <v>1972</v>
      </c>
      <c r="E122" s="71">
        <f>+F122+G122+H122</f>
        <v>74.65975700000001</v>
      </c>
      <c r="F122" s="73">
        <v>11.9952</v>
      </c>
      <c r="G122" s="73">
        <v>17.76</v>
      </c>
      <c r="H122" s="73">
        <v>44.904557000000004</v>
      </c>
      <c r="I122" s="69">
        <v>5858.8</v>
      </c>
      <c r="J122" s="73">
        <v>44.904557000000004</v>
      </c>
      <c r="K122" s="69">
        <v>5795.400000000001</v>
      </c>
      <c r="L122" s="41">
        <f>+J122/K122</f>
        <v>0.007748310211547089</v>
      </c>
      <c r="M122" s="23">
        <v>338.118</v>
      </c>
      <c r="N122" s="23">
        <f>+L122*M122</f>
        <v>2.6198431521078787</v>
      </c>
      <c r="O122" s="23">
        <f>+L122*60*1000</f>
        <v>464.89861269282534</v>
      </c>
      <c r="P122" s="42">
        <f>+N122*60</f>
        <v>157.19058912647273</v>
      </c>
      <c r="R122" s="10"/>
      <c r="S122" s="10"/>
    </row>
    <row r="123" spans="1:19" s="9" customFormat="1" ht="12.75" customHeight="1">
      <c r="A123" s="379"/>
      <c r="B123" s="319" t="s">
        <v>1008</v>
      </c>
      <c r="C123" s="288">
        <v>75</v>
      </c>
      <c r="D123" s="289" t="s">
        <v>24</v>
      </c>
      <c r="E123" s="293">
        <v>50.45</v>
      </c>
      <c r="F123" s="293">
        <v>7.63</v>
      </c>
      <c r="G123" s="291">
        <v>11.92</v>
      </c>
      <c r="H123" s="293">
        <v>30.9</v>
      </c>
      <c r="I123" s="292">
        <v>3968.65</v>
      </c>
      <c r="J123" s="293">
        <v>30.9</v>
      </c>
      <c r="K123" s="292">
        <v>3968.65</v>
      </c>
      <c r="L123" s="63">
        <f>J123/K123</f>
        <v>0.0077860229549091</v>
      </c>
      <c r="M123" s="28">
        <v>269.2</v>
      </c>
      <c r="N123" s="62">
        <f>L123*M123</f>
        <v>2.0959973794615294</v>
      </c>
      <c r="O123" s="62">
        <f>L123*60*1000</f>
        <v>467.161377294546</v>
      </c>
      <c r="P123" s="61">
        <f>O123*M123/1000</f>
        <v>125.75984276769178</v>
      </c>
      <c r="R123" s="10"/>
      <c r="S123" s="10"/>
    </row>
    <row r="124" spans="1:19" s="9" customFormat="1" ht="12.75" customHeight="1">
      <c r="A124" s="379"/>
      <c r="B124" s="119" t="s">
        <v>788</v>
      </c>
      <c r="C124" s="34">
        <v>25</v>
      </c>
      <c r="D124" s="34">
        <v>1986</v>
      </c>
      <c r="E124" s="72">
        <v>16.745</v>
      </c>
      <c r="F124" s="72">
        <v>2.24</v>
      </c>
      <c r="G124" s="72">
        <v>4</v>
      </c>
      <c r="H124" s="72">
        <v>10.505</v>
      </c>
      <c r="I124" s="68">
        <v>1339.97</v>
      </c>
      <c r="J124" s="72">
        <v>10.505</v>
      </c>
      <c r="K124" s="68">
        <v>1339.97</v>
      </c>
      <c r="L124" s="63">
        <f>J124/K124</f>
        <v>0.007839727755098995</v>
      </c>
      <c r="M124" s="28">
        <v>216.6</v>
      </c>
      <c r="N124" s="62">
        <f>L124*M124</f>
        <v>1.6980850317544423</v>
      </c>
      <c r="O124" s="62">
        <f>L124*60*1000</f>
        <v>470.38366530593964</v>
      </c>
      <c r="P124" s="61">
        <f>O124*M124/1000</f>
        <v>101.88510190526652</v>
      </c>
      <c r="R124" s="10"/>
      <c r="S124" s="10"/>
    </row>
    <row r="125" spans="1:19" s="9" customFormat="1" ht="13.5" customHeight="1">
      <c r="A125" s="379"/>
      <c r="B125" s="319" t="s">
        <v>1009</v>
      </c>
      <c r="C125" s="288">
        <v>100</v>
      </c>
      <c r="D125" s="289" t="s">
        <v>24</v>
      </c>
      <c r="E125" s="293">
        <v>60.47</v>
      </c>
      <c r="F125" s="293">
        <v>9.59</v>
      </c>
      <c r="G125" s="291">
        <v>16</v>
      </c>
      <c r="H125" s="293">
        <v>34.88</v>
      </c>
      <c r="I125" s="292">
        <v>4434.25</v>
      </c>
      <c r="J125" s="293">
        <v>34.88</v>
      </c>
      <c r="K125" s="292">
        <v>4434.25</v>
      </c>
      <c r="L125" s="63">
        <f>J125/K125</f>
        <v>0.00786604273552461</v>
      </c>
      <c r="M125" s="28">
        <v>269.2</v>
      </c>
      <c r="N125" s="62">
        <f>L125*M125</f>
        <v>2.117538704403225</v>
      </c>
      <c r="O125" s="62">
        <f>L125*60*1000</f>
        <v>471.96256413147665</v>
      </c>
      <c r="P125" s="61">
        <f>O125*M125/1000</f>
        <v>127.05232226419352</v>
      </c>
      <c r="R125" s="10"/>
      <c r="S125" s="10"/>
    </row>
    <row r="126" spans="1:16" s="9" customFormat="1" ht="12.75" customHeight="1">
      <c r="A126" s="379"/>
      <c r="B126" s="320" t="s">
        <v>1010</v>
      </c>
      <c r="C126" s="288">
        <v>45</v>
      </c>
      <c r="D126" s="289" t="s">
        <v>24</v>
      </c>
      <c r="E126" s="290">
        <v>31.2</v>
      </c>
      <c r="F126" s="290">
        <v>5.47</v>
      </c>
      <c r="G126" s="291">
        <v>7.2</v>
      </c>
      <c r="H126" s="290">
        <v>18.53</v>
      </c>
      <c r="I126" s="292">
        <v>2343.95</v>
      </c>
      <c r="J126" s="290">
        <v>18.53</v>
      </c>
      <c r="K126" s="292">
        <v>2343.95</v>
      </c>
      <c r="L126" s="63">
        <f>J126/K126</f>
        <v>0.007905458734188017</v>
      </c>
      <c r="M126" s="28">
        <v>269.2</v>
      </c>
      <c r="N126" s="62">
        <f>L126*M126</f>
        <v>2.128149491243414</v>
      </c>
      <c r="O126" s="62">
        <f>L126*60*1000</f>
        <v>474.327524051281</v>
      </c>
      <c r="P126" s="61">
        <f>O126*M126/1000</f>
        <v>127.68896947460483</v>
      </c>
    </row>
    <row r="127" spans="1:19" s="9" customFormat="1" ht="12.75" customHeight="1">
      <c r="A127" s="379"/>
      <c r="B127" s="119" t="s">
        <v>636</v>
      </c>
      <c r="C127" s="34">
        <v>22</v>
      </c>
      <c r="D127" s="34">
        <v>2006</v>
      </c>
      <c r="E127" s="72">
        <v>17.44</v>
      </c>
      <c r="F127" s="72">
        <v>7.24</v>
      </c>
      <c r="G127" s="72">
        <v>0.03</v>
      </c>
      <c r="H127" s="72">
        <v>10.17</v>
      </c>
      <c r="I127" s="68">
        <v>1279.24</v>
      </c>
      <c r="J127" s="72">
        <v>8.761</v>
      </c>
      <c r="K127" s="68">
        <v>1150.54</v>
      </c>
      <c r="L127" s="63">
        <v>0.00795</v>
      </c>
      <c r="M127" s="28">
        <v>277.1</v>
      </c>
      <c r="N127" s="62">
        <f>L127*M127*1.09</f>
        <v>2.4012100500000004</v>
      </c>
      <c r="O127" s="62">
        <f>L127*60*1000</f>
        <v>477.00000000000006</v>
      </c>
      <c r="P127" s="61">
        <f>O127*M127/1000</f>
        <v>132.17670000000004</v>
      </c>
      <c r="Q127" s="11"/>
      <c r="R127" s="10"/>
      <c r="S127" s="10"/>
    </row>
    <row r="128" spans="1:19" s="9" customFormat="1" ht="12.75" customHeight="1">
      <c r="A128" s="379"/>
      <c r="B128" s="40" t="s">
        <v>473</v>
      </c>
      <c r="C128" s="22">
        <v>30</v>
      </c>
      <c r="D128" s="22">
        <v>2000</v>
      </c>
      <c r="E128" s="71">
        <v>20</v>
      </c>
      <c r="F128" s="71">
        <v>4.01</v>
      </c>
      <c r="G128" s="71">
        <v>4.72</v>
      </c>
      <c r="H128" s="71">
        <f>E128-F128-G128</f>
        <v>11.27</v>
      </c>
      <c r="I128" s="31">
        <v>1411.56</v>
      </c>
      <c r="J128" s="71">
        <v>11.27</v>
      </c>
      <c r="K128" s="31">
        <v>1411.56</v>
      </c>
      <c r="L128" s="41">
        <f>J128/K128</f>
        <v>0.007984074357448497</v>
      </c>
      <c r="M128" s="23">
        <v>264.761</v>
      </c>
      <c r="N128" s="23">
        <f>L128*M128</f>
        <v>2.1138715109524218</v>
      </c>
      <c r="O128" s="23">
        <f>L128*1000*60</f>
        <v>479.04446144690985</v>
      </c>
      <c r="P128" s="42">
        <f>N128*60</f>
        <v>126.83229065714531</v>
      </c>
      <c r="R128" s="10"/>
      <c r="S128" s="10"/>
    </row>
    <row r="129" spans="1:19" s="9" customFormat="1" ht="12.75" customHeight="1">
      <c r="A129" s="379"/>
      <c r="B129" s="119" t="s">
        <v>201</v>
      </c>
      <c r="C129" s="34">
        <v>55</v>
      </c>
      <c r="D129" s="34">
        <v>1993</v>
      </c>
      <c r="E129" s="72">
        <v>44.559001</v>
      </c>
      <c r="F129" s="72">
        <v>7.701</v>
      </c>
      <c r="G129" s="72">
        <v>8.64</v>
      </c>
      <c r="H129" s="72">
        <v>28.218001</v>
      </c>
      <c r="I129" s="68">
        <v>3524.86</v>
      </c>
      <c r="J129" s="72">
        <v>28.218001</v>
      </c>
      <c r="K129" s="68">
        <v>3524.86</v>
      </c>
      <c r="L129" s="63">
        <v>0.008005</v>
      </c>
      <c r="M129" s="28">
        <v>277.1</v>
      </c>
      <c r="N129" s="62">
        <f>L129*M129*1.09</f>
        <v>2.4178221950000003</v>
      </c>
      <c r="O129" s="62">
        <f>L129*60*1000</f>
        <v>480.3</v>
      </c>
      <c r="P129" s="61">
        <f>O129*M129/1000</f>
        <v>133.09113</v>
      </c>
      <c r="R129" s="10"/>
      <c r="S129" s="10"/>
    </row>
    <row r="130" spans="1:19" s="9" customFormat="1" ht="12.75" customHeight="1">
      <c r="A130" s="379"/>
      <c r="B130" s="49" t="s">
        <v>565</v>
      </c>
      <c r="C130" s="34">
        <v>20</v>
      </c>
      <c r="D130" s="34">
        <v>1971</v>
      </c>
      <c r="E130" s="50">
        <v>10.25234</v>
      </c>
      <c r="F130" s="50">
        <v>2.519</v>
      </c>
      <c r="G130" s="50">
        <v>0</v>
      </c>
      <c r="H130" s="50">
        <f>E130-F130-G130</f>
        <v>7.73334</v>
      </c>
      <c r="I130" s="60">
        <v>964.74</v>
      </c>
      <c r="J130" s="50">
        <f>H130</f>
        <v>7.73334</v>
      </c>
      <c r="K130" s="60">
        <f>I130</f>
        <v>964.74</v>
      </c>
      <c r="L130" s="51">
        <f>J130/K130</f>
        <v>0.008015983581068474</v>
      </c>
      <c r="M130" s="28">
        <v>279.5</v>
      </c>
      <c r="N130" s="52">
        <f>L130*M130</f>
        <v>2.2404674109086384</v>
      </c>
      <c r="O130" s="52">
        <f>L130*60*1000</f>
        <v>480.95901486410844</v>
      </c>
      <c r="P130" s="53">
        <f>O130*M130/1000</f>
        <v>134.42804465451832</v>
      </c>
      <c r="R130" s="10"/>
      <c r="S130" s="10"/>
    </row>
    <row r="131" spans="1:19" s="9" customFormat="1" ht="12.75">
      <c r="A131" s="379"/>
      <c r="B131" s="40" t="s">
        <v>54</v>
      </c>
      <c r="C131" s="22">
        <v>22</v>
      </c>
      <c r="D131" s="22">
        <v>2006</v>
      </c>
      <c r="E131" s="71">
        <v>19.35</v>
      </c>
      <c r="F131" s="71">
        <v>3.96</v>
      </c>
      <c r="G131" s="71">
        <v>1.76</v>
      </c>
      <c r="H131" s="71">
        <f>E131-F131-G131</f>
        <v>13.63</v>
      </c>
      <c r="I131" s="31">
        <v>1698.2</v>
      </c>
      <c r="J131" s="71">
        <f>H131/I131*K131</f>
        <v>13.62839477093393</v>
      </c>
      <c r="K131" s="22">
        <v>1698</v>
      </c>
      <c r="L131" s="41">
        <f>J131/K131</f>
        <v>0.008026145330349782</v>
      </c>
      <c r="M131" s="265">
        <f>294.4*1.09</f>
        <v>320.896</v>
      </c>
      <c r="N131" s="23">
        <f>L131*M131</f>
        <v>2.575557931927924</v>
      </c>
      <c r="O131" s="23">
        <f>L131*60*1000</f>
        <v>481.5687198209869</v>
      </c>
      <c r="P131" s="42">
        <f>O131*M131/1000</f>
        <v>154.53347591567544</v>
      </c>
      <c r="R131" s="10"/>
      <c r="S131" s="10"/>
    </row>
    <row r="132" spans="1:16" s="9" customFormat="1" ht="12.75" customHeight="1">
      <c r="A132" s="379"/>
      <c r="B132" s="122" t="s">
        <v>600</v>
      </c>
      <c r="C132" s="34">
        <v>31</v>
      </c>
      <c r="D132" s="34">
        <v>1990</v>
      </c>
      <c r="E132" s="72">
        <v>20.65</v>
      </c>
      <c r="F132" s="72">
        <v>2.765</v>
      </c>
      <c r="G132" s="72">
        <v>4.8</v>
      </c>
      <c r="H132" s="72">
        <v>13.085</v>
      </c>
      <c r="I132" s="28">
        <v>1617.54</v>
      </c>
      <c r="J132" s="72">
        <v>13.085</v>
      </c>
      <c r="K132" s="28">
        <v>1617.54</v>
      </c>
      <c r="L132" s="63">
        <f>J132/K132</f>
        <v>0.00808944446505187</v>
      </c>
      <c r="M132" s="28">
        <v>302.3</v>
      </c>
      <c r="N132" s="62">
        <f>L132*M132</f>
        <v>2.4454390617851804</v>
      </c>
      <c r="O132" s="62">
        <f>L132*60*1000</f>
        <v>485.36666790311216</v>
      </c>
      <c r="P132" s="61">
        <f>O132*M132/1000</f>
        <v>146.72634370711083</v>
      </c>
    </row>
    <row r="133" spans="1:19" s="9" customFormat="1" ht="12.75">
      <c r="A133" s="379"/>
      <c r="B133" s="122" t="s">
        <v>235</v>
      </c>
      <c r="C133" s="34">
        <v>100</v>
      </c>
      <c r="D133" s="34">
        <v>1969</v>
      </c>
      <c r="E133" s="72">
        <v>62.2</v>
      </c>
      <c r="F133" s="72">
        <v>8.45</v>
      </c>
      <c r="G133" s="72">
        <v>16</v>
      </c>
      <c r="H133" s="72">
        <v>37.75</v>
      </c>
      <c r="I133" s="28">
        <v>4648.63</v>
      </c>
      <c r="J133" s="72">
        <v>37.75</v>
      </c>
      <c r="K133" s="28">
        <v>4648.63</v>
      </c>
      <c r="L133" s="63">
        <f>J133/K133</f>
        <v>0.008120672111998588</v>
      </c>
      <c r="M133" s="28">
        <v>302.3</v>
      </c>
      <c r="N133" s="62">
        <f>L133*M133</f>
        <v>2.454879179457173</v>
      </c>
      <c r="O133" s="62">
        <f>L133*60*1000</f>
        <v>487.2403267199153</v>
      </c>
      <c r="P133" s="61">
        <f>O133*M133/1000</f>
        <v>147.29275076743042</v>
      </c>
      <c r="R133" s="10"/>
      <c r="S133" s="10"/>
    </row>
    <row r="134" spans="1:19" s="9" customFormat="1" ht="12.75">
      <c r="A134" s="379"/>
      <c r="B134" s="40" t="s">
        <v>718</v>
      </c>
      <c r="C134" s="22">
        <v>13</v>
      </c>
      <c r="D134" s="22">
        <v>2007</v>
      </c>
      <c r="E134" s="71">
        <f>F134+G134+H134</f>
        <v>11.315</v>
      </c>
      <c r="F134" s="71">
        <v>0.7623</v>
      </c>
      <c r="G134" s="71">
        <v>2</v>
      </c>
      <c r="H134" s="71">
        <v>8.5527</v>
      </c>
      <c r="I134" s="31">
        <v>1052.22</v>
      </c>
      <c r="J134" s="71">
        <v>8.5527</v>
      </c>
      <c r="K134" s="31">
        <v>1052.22</v>
      </c>
      <c r="L134" s="41">
        <f>J134/K134</f>
        <v>0.008128243143068939</v>
      </c>
      <c r="M134" s="23">
        <v>210</v>
      </c>
      <c r="N134" s="23">
        <f>L134*M134</f>
        <v>1.7069310600444771</v>
      </c>
      <c r="O134" s="23">
        <f>L134*1000*60</f>
        <v>487.69458858413634</v>
      </c>
      <c r="P134" s="42">
        <f>N134*60</f>
        <v>102.41586360266862</v>
      </c>
      <c r="R134" s="10"/>
      <c r="S134" s="10"/>
    </row>
    <row r="135" spans="1:19" s="9" customFormat="1" ht="12.75" customHeight="1">
      <c r="A135" s="379"/>
      <c r="B135" s="40" t="s">
        <v>92</v>
      </c>
      <c r="C135" s="22">
        <v>60</v>
      </c>
      <c r="D135" s="22">
        <v>1965</v>
      </c>
      <c r="E135" s="71">
        <v>38.26</v>
      </c>
      <c r="F135" s="71">
        <v>6.7</v>
      </c>
      <c r="G135" s="71">
        <v>9.52</v>
      </c>
      <c r="H135" s="71">
        <f>E135-F135-G135</f>
        <v>22.04</v>
      </c>
      <c r="I135" s="31">
        <v>2708.9</v>
      </c>
      <c r="J135" s="71">
        <f>H135/I135*K135</f>
        <v>22.04081361438222</v>
      </c>
      <c r="K135" s="22">
        <v>2709</v>
      </c>
      <c r="L135" s="41">
        <f>J135/K135</f>
        <v>0.008136143822215659</v>
      </c>
      <c r="M135" s="265">
        <f>294.4*1.09</f>
        <v>320.896</v>
      </c>
      <c r="N135" s="23">
        <f>L135*M135</f>
        <v>2.610856007973716</v>
      </c>
      <c r="O135" s="23">
        <f>L135*60*1000</f>
        <v>488.16862933293953</v>
      </c>
      <c r="P135" s="42">
        <f>O135*M135/1000</f>
        <v>156.651360478423</v>
      </c>
      <c r="R135" s="10"/>
      <c r="S135" s="10"/>
    </row>
    <row r="136" spans="1:19" s="9" customFormat="1" ht="12.75" customHeight="1">
      <c r="A136" s="379"/>
      <c r="B136" s="40" t="s">
        <v>786</v>
      </c>
      <c r="C136" s="22">
        <v>60</v>
      </c>
      <c r="D136" s="22" t="s">
        <v>24</v>
      </c>
      <c r="E136" s="72">
        <f>F136+G136+H136</f>
        <v>34.159</v>
      </c>
      <c r="F136" s="72">
        <v>6.069</v>
      </c>
      <c r="G136" s="72">
        <v>0.59</v>
      </c>
      <c r="H136" s="72">
        <v>27.5</v>
      </c>
      <c r="I136" s="31">
        <v>3373.53</v>
      </c>
      <c r="J136" s="72">
        <v>27.5</v>
      </c>
      <c r="K136" s="31">
        <v>3373.5</v>
      </c>
      <c r="L136" s="63">
        <f>J136/K136</f>
        <v>0.008151771157551505</v>
      </c>
      <c r="M136" s="28">
        <v>206.1</v>
      </c>
      <c r="N136" s="62">
        <f>L136*M136</f>
        <v>1.6800800355713652</v>
      </c>
      <c r="O136" s="62">
        <f>L136*60*1000</f>
        <v>489.1062694530903</v>
      </c>
      <c r="P136" s="61">
        <f>O136*M136/1000</f>
        <v>100.80480213428191</v>
      </c>
      <c r="R136" s="10"/>
      <c r="S136" s="10"/>
    </row>
    <row r="137" spans="1:19" s="9" customFormat="1" ht="12.75" customHeight="1">
      <c r="A137" s="379"/>
      <c r="B137" s="40" t="s">
        <v>29</v>
      </c>
      <c r="C137" s="22">
        <v>60</v>
      </c>
      <c r="D137" s="22">
        <v>1994</v>
      </c>
      <c r="E137" s="71">
        <v>34.667</v>
      </c>
      <c r="F137" s="71">
        <v>7.146999</v>
      </c>
      <c r="G137" s="71">
        <v>9.52</v>
      </c>
      <c r="H137" s="71">
        <v>18.000001</v>
      </c>
      <c r="I137" s="31">
        <v>2203.82</v>
      </c>
      <c r="J137" s="71">
        <v>17.999999000000003</v>
      </c>
      <c r="K137" s="31">
        <v>2203.82</v>
      </c>
      <c r="L137" s="41">
        <f>J137/K137</f>
        <v>0.008167635741575991</v>
      </c>
      <c r="M137" s="22">
        <v>298.66</v>
      </c>
      <c r="N137" s="23">
        <f>L137*M137</f>
        <v>2.4393460905790856</v>
      </c>
      <c r="O137" s="23">
        <f>L137*60*1000</f>
        <v>490.0581444945595</v>
      </c>
      <c r="P137" s="42">
        <f>O137*M137/1000</f>
        <v>146.36076543474513</v>
      </c>
      <c r="R137" s="10"/>
      <c r="S137" s="10"/>
    </row>
    <row r="138" spans="1:19" s="9" customFormat="1" ht="12.75" customHeight="1">
      <c r="A138" s="379"/>
      <c r="B138" s="58" t="s">
        <v>625</v>
      </c>
      <c r="C138" s="59">
        <v>21</v>
      </c>
      <c r="D138" s="22">
        <v>2000</v>
      </c>
      <c r="E138" s="71">
        <f>+F138+G138+H138</f>
        <v>14.278</v>
      </c>
      <c r="F138" s="73">
        <v>2.582008</v>
      </c>
      <c r="G138" s="73">
        <v>2.64</v>
      </c>
      <c r="H138" s="73">
        <v>9.055992</v>
      </c>
      <c r="I138" s="69">
        <v>1105.27</v>
      </c>
      <c r="J138" s="73">
        <v>9.055992</v>
      </c>
      <c r="K138" s="69">
        <v>1105.27</v>
      </c>
      <c r="L138" s="41">
        <f>+J138/K138</f>
        <v>0.00819346584997331</v>
      </c>
      <c r="M138" s="23">
        <v>333.213</v>
      </c>
      <c r="N138" s="23">
        <f>+L138*M138</f>
        <v>2.7301693362671564</v>
      </c>
      <c r="O138" s="23">
        <f>+L138*60*1000</f>
        <v>491.60795099839856</v>
      </c>
      <c r="P138" s="42">
        <f>+N138*60</f>
        <v>163.8101601760294</v>
      </c>
      <c r="R138" s="10"/>
      <c r="S138" s="10"/>
    </row>
    <row r="139" spans="1:19" s="9" customFormat="1" ht="12.75">
      <c r="A139" s="379"/>
      <c r="B139" s="119" t="s">
        <v>479</v>
      </c>
      <c r="C139" s="34">
        <v>40</v>
      </c>
      <c r="D139" s="34"/>
      <c r="E139" s="72">
        <v>28.4</v>
      </c>
      <c r="F139" s="72">
        <v>3.651</v>
      </c>
      <c r="G139" s="72">
        <v>6.4</v>
      </c>
      <c r="H139" s="72">
        <v>18.349</v>
      </c>
      <c r="I139" s="68">
        <v>2232.79</v>
      </c>
      <c r="J139" s="72">
        <v>18.3</v>
      </c>
      <c r="K139" s="68">
        <v>2232.8</v>
      </c>
      <c r="L139" s="63">
        <f>J139/K139</f>
        <v>0.008195987101397349</v>
      </c>
      <c r="M139" s="28">
        <v>224.1</v>
      </c>
      <c r="N139" s="62">
        <f>L139*M139</f>
        <v>1.836720709423146</v>
      </c>
      <c r="O139" s="62">
        <f>L139*60*1000</f>
        <v>491.75922608384093</v>
      </c>
      <c r="P139" s="61">
        <f>O139*M139/1000</f>
        <v>110.20324256538875</v>
      </c>
      <c r="R139" s="10"/>
      <c r="S139" s="10"/>
    </row>
    <row r="140" spans="1:19" s="9" customFormat="1" ht="12.75">
      <c r="A140" s="379"/>
      <c r="B140" s="119" t="s">
        <v>216</v>
      </c>
      <c r="C140" s="34">
        <v>80</v>
      </c>
      <c r="D140" s="34">
        <v>2007</v>
      </c>
      <c r="E140" s="72">
        <v>67.334</v>
      </c>
      <c r="F140" s="72">
        <v>4.488</v>
      </c>
      <c r="G140" s="72">
        <v>8.08</v>
      </c>
      <c r="H140" s="72">
        <v>54.766</v>
      </c>
      <c r="I140" s="68">
        <v>6753.68</v>
      </c>
      <c r="J140" s="72">
        <v>44.35</v>
      </c>
      <c r="K140" s="68">
        <v>5312.08</v>
      </c>
      <c r="L140" s="63">
        <f>J140/K140</f>
        <v>0.008348895347961627</v>
      </c>
      <c r="M140" s="28">
        <v>328.526</v>
      </c>
      <c r="N140" s="62">
        <f>L140*M140</f>
        <v>2.7428291930844413</v>
      </c>
      <c r="O140" s="62">
        <f>L140*60*1000</f>
        <v>500.9337208776976</v>
      </c>
      <c r="P140" s="61">
        <f>O140*M140/1000</f>
        <v>164.56975158506648</v>
      </c>
      <c r="Q140" s="11"/>
      <c r="R140" s="10"/>
      <c r="S140" s="10"/>
    </row>
    <row r="141" spans="1:19" s="9" customFormat="1" ht="12.75" customHeight="1">
      <c r="A141" s="379"/>
      <c r="B141" s="122" t="s">
        <v>601</v>
      </c>
      <c r="C141" s="34">
        <v>60</v>
      </c>
      <c r="D141" s="34">
        <v>1970</v>
      </c>
      <c r="E141" s="72">
        <v>37.7</v>
      </c>
      <c r="F141" s="72">
        <v>5.213</v>
      </c>
      <c r="G141" s="72">
        <v>9.6</v>
      </c>
      <c r="H141" s="72">
        <v>22.887</v>
      </c>
      <c r="I141" s="28">
        <v>2723.4</v>
      </c>
      <c r="J141" s="72">
        <v>22.887</v>
      </c>
      <c r="K141" s="28">
        <v>2723.4</v>
      </c>
      <c r="L141" s="63">
        <f>J141/K141</f>
        <v>0.008403833443489755</v>
      </c>
      <c r="M141" s="28">
        <v>302.3</v>
      </c>
      <c r="N141" s="62">
        <f>L141*M141</f>
        <v>2.540478849966953</v>
      </c>
      <c r="O141" s="62">
        <f>L141*60*1000</f>
        <v>504.2300066093853</v>
      </c>
      <c r="P141" s="61">
        <f>O141*M141/1000</f>
        <v>152.4287309980172</v>
      </c>
      <c r="R141" s="39"/>
      <c r="S141" s="10"/>
    </row>
    <row r="142" spans="1:22" s="9" customFormat="1" ht="12.75">
      <c r="A142" s="379"/>
      <c r="B142" s="119" t="s">
        <v>307</v>
      </c>
      <c r="C142" s="34">
        <v>16</v>
      </c>
      <c r="D142" s="34">
        <v>1961</v>
      </c>
      <c r="E142" s="72">
        <v>9.447937</v>
      </c>
      <c r="F142" s="72">
        <v>1.275</v>
      </c>
      <c r="G142" s="72">
        <v>2.56</v>
      </c>
      <c r="H142" s="72">
        <v>5.612937</v>
      </c>
      <c r="I142" s="68">
        <v>714.88</v>
      </c>
      <c r="J142" s="72">
        <v>4.796468</v>
      </c>
      <c r="K142" s="68">
        <v>567.24</v>
      </c>
      <c r="L142" s="63">
        <f>J142/K142</f>
        <v>0.008455800014103378</v>
      </c>
      <c r="M142" s="28">
        <v>254.2</v>
      </c>
      <c r="N142" s="62">
        <f>L142*M142</f>
        <v>2.1494643635850785</v>
      </c>
      <c r="O142" s="62">
        <f>L142*60*1000</f>
        <v>507.3480008462027</v>
      </c>
      <c r="P142" s="61">
        <f>O142*M142/1000</f>
        <v>128.96786181510473</v>
      </c>
      <c r="Q142" s="10"/>
      <c r="R142" s="10"/>
      <c r="S142" s="10"/>
      <c r="T142" s="12"/>
      <c r="U142" s="13"/>
      <c r="V142" s="13"/>
    </row>
    <row r="143" spans="1:22" s="9" customFormat="1" ht="12.75">
      <c r="A143" s="379"/>
      <c r="B143" s="119" t="s">
        <v>213</v>
      </c>
      <c r="C143" s="34">
        <v>20</v>
      </c>
      <c r="D143" s="34">
        <v>1975</v>
      </c>
      <c r="E143" s="72">
        <v>14.647</v>
      </c>
      <c r="F143" s="72">
        <v>1.836</v>
      </c>
      <c r="G143" s="72">
        <v>3.2</v>
      </c>
      <c r="H143" s="72">
        <v>9.611</v>
      </c>
      <c r="I143" s="68">
        <v>1127.03</v>
      </c>
      <c r="J143" s="72">
        <v>9.61</v>
      </c>
      <c r="K143" s="68">
        <v>1127.03</v>
      </c>
      <c r="L143" s="63">
        <f>J143/K143</f>
        <v>0.008526836020336636</v>
      </c>
      <c r="M143" s="28">
        <v>328.526</v>
      </c>
      <c r="N143" s="62">
        <f>L143*M143</f>
        <v>2.801287330417114</v>
      </c>
      <c r="O143" s="62">
        <f>L143*60*1000</f>
        <v>511.6101612201982</v>
      </c>
      <c r="P143" s="61">
        <f>O143*M143/1000</f>
        <v>168.07723982502685</v>
      </c>
      <c r="Q143" s="10"/>
      <c r="R143" s="10"/>
      <c r="S143" s="10"/>
      <c r="T143" s="12"/>
      <c r="U143" s="13"/>
      <c r="V143" s="13"/>
    </row>
    <row r="144" spans="1:19" s="9" customFormat="1" ht="12.75">
      <c r="A144" s="379"/>
      <c r="B144" s="119" t="s">
        <v>566</v>
      </c>
      <c r="C144" s="34">
        <v>145</v>
      </c>
      <c r="D144" s="34">
        <v>1979</v>
      </c>
      <c r="E144" s="72">
        <v>106.9889</v>
      </c>
      <c r="F144" s="72">
        <v>27.29416</v>
      </c>
      <c r="G144" s="72">
        <v>14.4</v>
      </c>
      <c r="H144" s="72">
        <f>E144-F144-G144</f>
        <v>65.29473999999999</v>
      </c>
      <c r="I144" s="68">
        <v>7579.44</v>
      </c>
      <c r="J144" s="72">
        <f>H144</f>
        <v>65.29473999999999</v>
      </c>
      <c r="K144" s="68">
        <f>I144</f>
        <v>7579.44</v>
      </c>
      <c r="L144" s="63">
        <f>J144/K144</f>
        <v>0.00861471823775899</v>
      </c>
      <c r="M144" s="28">
        <v>279.5</v>
      </c>
      <c r="N144" s="62">
        <f>L144*M144</f>
        <v>2.4078137474536376</v>
      </c>
      <c r="O144" s="62">
        <f>L144*60*1000</f>
        <v>516.8830942655394</v>
      </c>
      <c r="P144" s="61">
        <f>O144*M144/1000</f>
        <v>144.46882484721826</v>
      </c>
      <c r="R144" s="10"/>
      <c r="S144" s="10"/>
    </row>
    <row r="145" spans="1:19" s="9" customFormat="1" ht="12.75">
      <c r="A145" s="379"/>
      <c r="B145" s="190" t="s">
        <v>207</v>
      </c>
      <c r="C145" s="270">
        <v>58</v>
      </c>
      <c r="D145" s="191">
        <v>1975</v>
      </c>
      <c r="E145" s="192">
        <v>38.958006</v>
      </c>
      <c r="F145" s="193">
        <v>6.094500000000001</v>
      </c>
      <c r="G145" s="193">
        <v>9.52</v>
      </c>
      <c r="H145" s="193">
        <v>23.343506</v>
      </c>
      <c r="I145" s="194">
        <v>2706.9700000000003</v>
      </c>
      <c r="J145" s="193">
        <v>23.343506</v>
      </c>
      <c r="K145" s="194">
        <v>2706.9700000000003</v>
      </c>
      <c r="L145" s="195">
        <v>0.008623481604894033</v>
      </c>
      <c r="M145" s="196">
        <v>314.574</v>
      </c>
      <c r="N145" s="197">
        <v>2.7127231023779355</v>
      </c>
      <c r="O145" s="197">
        <v>517.408896293642</v>
      </c>
      <c r="P145" s="198">
        <v>162.76338614267615</v>
      </c>
      <c r="R145" s="10"/>
      <c r="S145" s="10"/>
    </row>
    <row r="146" spans="1:19" s="9" customFormat="1" ht="12.75" customHeight="1">
      <c r="A146" s="379"/>
      <c r="B146" s="326" t="s">
        <v>419</v>
      </c>
      <c r="C146" s="332">
        <v>45</v>
      </c>
      <c r="D146" s="332">
        <v>1979</v>
      </c>
      <c r="E146" s="337">
        <v>32.309</v>
      </c>
      <c r="F146" s="337">
        <v>5.088</v>
      </c>
      <c r="G146" s="337">
        <v>7.2</v>
      </c>
      <c r="H146" s="337">
        <v>20.021</v>
      </c>
      <c r="I146" s="343">
        <v>2321.42</v>
      </c>
      <c r="J146" s="337">
        <v>20.021</v>
      </c>
      <c r="K146" s="343">
        <v>2321.42</v>
      </c>
      <c r="L146" s="348">
        <f>J146/K146</f>
        <v>0.008624462613400418</v>
      </c>
      <c r="M146" s="343">
        <v>302.3</v>
      </c>
      <c r="N146" s="356">
        <f>L146*M146</f>
        <v>2.6071750480309466</v>
      </c>
      <c r="O146" s="356">
        <f>L146*60*1000</f>
        <v>517.4677568040252</v>
      </c>
      <c r="P146" s="362">
        <f>O146*M146/1000</f>
        <v>156.4305028818568</v>
      </c>
      <c r="Q146" s="11"/>
      <c r="R146" s="39"/>
      <c r="S146" s="10"/>
    </row>
    <row r="147" spans="1:16" s="9" customFormat="1" ht="13.5" customHeight="1">
      <c r="A147" s="379"/>
      <c r="B147" s="119" t="s">
        <v>876</v>
      </c>
      <c r="C147" s="34">
        <v>8</v>
      </c>
      <c r="D147" s="34" t="s">
        <v>156</v>
      </c>
      <c r="E147" s="259"/>
      <c r="F147" s="72">
        <v>0</v>
      </c>
      <c r="G147" s="72">
        <v>0</v>
      </c>
      <c r="H147" s="72">
        <v>4.126214</v>
      </c>
      <c r="I147" s="68">
        <v>478.14</v>
      </c>
      <c r="J147" s="72">
        <v>4.126214</v>
      </c>
      <c r="K147" s="68">
        <v>478.14</v>
      </c>
      <c r="L147" s="63">
        <f>J147/K147</f>
        <v>0.0086297193290668</v>
      </c>
      <c r="M147" s="28">
        <v>279.803</v>
      </c>
      <c r="N147" s="62">
        <f>L147*M147</f>
        <v>2.414621357430878</v>
      </c>
      <c r="O147" s="62">
        <f>L147*60*1000</f>
        <v>517.783159744008</v>
      </c>
      <c r="P147" s="61">
        <f>O147*M147/1000</f>
        <v>144.87728144585265</v>
      </c>
    </row>
    <row r="148" spans="1:19" s="9" customFormat="1" ht="11.25" customHeight="1">
      <c r="A148" s="379"/>
      <c r="B148" s="319" t="s">
        <v>1011</v>
      </c>
      <c r="C148" s="288">
        <v>103</v>
      </c>
      <c r="D148" s="289" t="s">
        <v>24</v>
      </c>
      <c r="E148" s="293">
        <v>63.09</v>
      </c>
      <c r="F148" s="293">
        <v>8.77</v>
      </c>
      <c r="G148" s="291">
        <v>16</v>
      </c>
      <c r="H148" s="293">
        <v>38.32</v>
      </c>
      <c r="I148" s="292">
        <v>4436.68</v>
      </c>
      <c r="J148" s="293">
        <v>38.32</v>
      </c>
      <c r="K148" s="292">
        <v>4436.68</v>
      </c>
      <c r="L148" s="63">
        <f>J148/K148</f>
        <v>0.008637088994473345</v>
      </c>
      <c r="M148" s="28">
        <v>269.2</v>
      </c>
      <c r="N148" s="62">
        <f>L148*M148</f>
        <v>2.3251043573122243</v>
      </c>
      <c r="O148" s="62">
        <f>L148*60*1000</f>
        <v>518.2253396684007</v>
      </c>
      <c r="P148" s="61">
        <f>O148*M148/1000</f>
        <v>139.50626143873347</v>
      </c>
      <c r="R148" s="10"/>
      <c r="S148" s="10"/>
    </row>
    <row r="149" spans="1:16" s="9" customFormat="1" ht="12.75" customHeight="1">
      <c r="A149" s="379"/>
      <c r="B149" s="40" t="s">
        <v>56</v>
      </c>
      <c r="C149" s="22">
        <v>83</v>
      </c>
      <c r="D149" s="22">
        <v>2006</v>
      </c>
      <c r="E149" s="71">
        <v>68.14</v>
      </c>
      <c r="F149" s="71">
        <v>12.91</v>
      </c>
      <c r="G149" s="71">
        <v>7.36</v>
      </c>
      <c r="H149" s="71">
        <f>E149-F149-G149</f>
        <v>47.870000000000005</v>
      </c>
      <c r="I149" s="31">
        <v>5540.2</v>
      </c>
      <c r="J149" s="71">
        <f>H149/I149*K149</f>
        <v>42.519813364138486</v>
      </c>
      <c r="K149" s="22">
        <v>4921</v>
      </c>
      <c r="L149" s="41">
        <f>J149/K149</f>
        <v>0.008640482293058013</v>
      </c>
      <c r="M149" s="265">
        <f>294.4*1.09</f>
        <v>320.896</v>
      </c>
      <c r="N149" s="23">
        <f>L149*M149</f>
        <v>2.7726962059131446</v>
      </c>
      <c r="O149" s="23">
        <f>L149*60*1000</f>
        <v>518.4289375834808</v>
      </c>
      <c r="P149" s="42">
        <f>O149*M149/1000</f>
        <v>166.36177235478866</v>
      </c>
    </row>
    <row r="150" spans="1:19" s="9" customFormat="1" ht="12.75">
      <c r="A150" s="379"/>
      <c r="B150" s="40" t="s">
        <v>89</v>
      </c>
      <c r="C150" s="22">
        <v>60</v>
      </c>
      <c r="D150" s="22">
        <v>1968</v>
      </c>
      <c r="E150" s="71">
        <v>35.42</v>
      </c>
      <c r="F150" s="71">
        <v>7.21</v>
      </c>
      <c r="G150" s="71">
        <v>4.72</v>
      </c>
      <c r="H150" s="71">
        <v>23.49</v>
      </c>
      <c r="I150" s="31">
        <v>2715.4</v>
      </c>
      <c r="J150" s="71">
        <f>H150/I150*K150</f>
        <v>23.486539736318772</v>
      </c>
      <c r="K150" s="22">
        <v>2715</v>
      </c>
      <c r="L150" s="41">
        <f>J150/K150</f>
        <v>0.008650659203064005</v>
      </c>
      <c r="M150" s="265">
        <f>294.4*1.09</f>
        <v>320.896</v>
      </c>
      <c r="N150" s="23">
        <f>L150*M150</f>
        <v>2.775961935626427</v>
      </c>
      <c r="O150" s="23">
        <f>L150*60*1000</f>
        <v>519.0395521838402</v>
      </c>
      <c r="P150" s="42">
        <f>O150*M150/1000</f>
        <v>166.5577161375856</v>
      </c>
      <c r="R150" s="10"/>
      <c r="S150" s="10"/>
    </row>
    <row r="151" spans="1:19" s="9" customFormat="1" ht="12.75">
      <c r="A151" s="379"/>
      <c r="B151" s="319" t="s">
        <v>1012</v>
      </c>
      <c r="C151" s="288">
        <v>20</v>
      </c>
      <c r="D151" s="289" t="s">
        <v>996</v>
      </c>
      <c r="E151" s="293">
        <v>15.7</v>
      </c>
      <c r="F151" s="293">
        <v>2.18</v>
      </c>
      <c r="G151" s="291">
        <v>3.2</v>
      </c>
      <c r="H151" s="293">
        <v>10.32</v>
      </c>
      <c r="I151" s="292">
        <v>1189.16</v>
      </c>
      <c r="J151" s="293">
        <v>10.32</v>
      </c>
      <c r="K151" s="292">
        <v>1189.16</v>
      </c>
      <c r="L151" s="63">
        <f>J151/K151</f>
        <v>0.008678394833327727</v>
      </c>
      <c r="M151" s="28">
        <v>269.2</v>
      </c>
      <c r="N151" s="62">
        <f>L151*M151</f>
        <v>2.336223889131824</v>
      </c>
      <c r="O151" s="62">
        <f>L151*60*1000</f>
        <v>520.7036899996637</v>
      </c>
      <c r="P151" s="61">
        <f>O151*M151/1000</f>
        <v>140.17343334790945</v>
      </c>
      <c r="R151" s="10"/>
      <c r="S151" s="10"/>
    </row>
    <row r="152" spans="1:19" s="9" customFormat="1" ht="12.75">
      <c r="A152" s="379"/>
      <c r="B152" s="119" t="s">
        <v>789</v>
      </c>
      <c r="C152" s="34">
        <v>12</v>
      </c>
      <c r="D152" s="34">
        <v>1994</v>
      </c>
      <c r="E152" s="72">
        <v>8.693</v>
      </c>
      <c r="F152" s="72">
        <v>1.008</v>
      </c>
      <c r="G152" s="72">
        <v>1.6</v>
      </c>
      <c r="H152" s="72">
        <v>5.765</v>
      </c>
      <c r="I152" s="68">
        <v>664.21</v>
      </c>
      <c r="J152" s="72">
        <v>5.765</v>
      </c>
      <c r="K152" s="68">
        <v>664.21</v>
      </c>
      <c r="L152" s="63">
        <f>J152/K152</f>
        <v>0.008679483898164735</v>
      </c>
      <c r="M152" s="28">
        <v>216.6</v>
      </c>
      <c r="N152" s="62">
        <f>L152*M152</f>
        <v>1.8799762123424817</v>
      </c>
      <c r="O152" s="62">
        <f>L152*60*1000</f>
        <v>520.7690338898842</v>
      </c>
      <c r="P152" s="61">
        <f>O152*M152/1000</f>
        <v>112.79857274054892</v>
      </c>
      <c r="Q152" s="11"/>
      <c r="R152" s="10"/>
      <c r="S152" s="10"/>
    </row>
    <row r="153" spans="1:19" s="9" customFormat="1" ht="12.75">
      <c r="A153" s="379"/>
      <c r="B153" s="40" t="s">
        <v>31</v>
      </c>
      <c r="C153" s="22">
        <v>45</v>
      </c>
      <c r="D153" s="22">
        <v>2001</v>
      </c>
      <c r="E153" s="71">
        <v>43.291</v>
      </c>
      <c r="F153" s="71">
        <v>8.8893</v>
      </c>
      <c r="G153" s="71">
        <v>7.12</v>
      </c>
      <c r="H153" s="71">
        <v>27.2817</v>
      </c>
      <c r="I153" s="31">
        <v>3135.61</v>
      </c>
      <c r="J153" s="71">
        <v>27.281706</v>
      </c>
      <c r="K153" s="31">
        <v>3135.61</v>
      </c>
      <c r="L153" s="41">
        <f>J153/K153</f>
        <v>0.00870060562378612</v>
      </c>
      <c r="M153" s="22">
        <v>298.66</v>
      </c>
      <c r="N153" s="23">
        <f>L153*M153</f>
        <v>2.5985228755999628</v>
      </c>
      <c r="O153" s="23">
        <f>L153*60*1000</f>
        <v>522.0363374271673</v>
      </c>
      <c r="P153" s="42">
        <f>O153*M153/1000</f>
        <v>155.9113725359978</v>
      </c>
      <c r="R153" s="10"/>
      <c r="S153" s="10"/>
    </row>
    <row r="154" spans="1:19" s="9" customFormat="1" ht="12.75">
      <c r="A154" s="379"/>
      <c r="B154" s="319" t="s">
        <v>1013</v>
      </c>
      <c r="C154" s="288">
        <v>119</v>
      </c>
      <c r="D154" s="289" t="s">
        <v>24</v>
      </c>
      <c r="E154" s="293">
        <v>80.33</v>
      </c>
      <c r="F154" s="293">
        <v>10.85</v>
      </c>
      <c r="G154" s="291">
        <v>19.04</v>
      </c>
      <c r="H154" s="293">
        <v>50.44</v>
      </c>
      <c r="I154" s="292">
        <v>5732.68</v>
      </c>
      <c r="J154" s="293">
        <v>50.44</v>
      </c>
      <c r="K154" s="292">
        <v>5732.68</v>
      </c>
      <c r="L154" s="63">
        <f>J154/K154</f>
        <v>0.008798677058548532</v>
      </c>
      <c r="M154" s="28">
        <v>269.2</v>
      </c>
      <c r="N154" s="62">
        <f>L154*M154</f>
        <v>2.3686038641612646</v>
      </c>
      <c r="O154" s="62">
        <f>L154*60*1000</f>
        <v>527.9206235129119</v>
      </c>
      <c r="P154" s="61">
        <f>O154*M154/1000</f>
        <v>142.11623184967587</v>
      </c>
      <c r="R154" s="10"/>
      <c r="S154" s="10"/>
    </row>
    <row r="155" spans="1:19" s="9" customFormat="1" ht="12.75">
      <c r="A155" s="379"/>
      <c r="B155" s="119" t="s">
        <v>216</v>
      </c>
      <c r="C155" s="34">
        <v>37</v>
      </c>
      <c r="D155" s="34">
        <v>2007</v>
      </c>
      <c r="E155" s="72">
        <v>49.429</v>
      </c>
      <c r="F155" s="72">
        <v>3.111</v>
      </c>
      <c r="G155" s="72">
        <v>4.48</v>
      </c>
      <c r="H155" s="72">
        <v>41.838</v>
      </c>
      <c r="I155" s="68">
        <v>4058.88</v>
      </c>
      <c r="J155" s="72">
        <v>23.53</v>
      </c>
      <c r="K155" s="68">
        <v>2663.94</v>
      </c>
      <c r="L155" s="63">
        <f>J155/K155</f>
        <v>0.008832781519103283</v>
      </c>
      <c r="M155" s="28">
        <v>328.526</v>
      </c>
      <c r="N155" s="62">
        <f>L155*M155</f>
        <v>2.9017983813449253</v>
      </c>
      <c r="O155" s="62">
        <f>L155*60*1000</f>
        <v>529.966891146197</v>
      </c>
      <c r="P155" s="61">
        <f>O155*M155/1000</f>
        <v>174.1079028806955</v>
      </c>
      <c r="R155" s="10"/>
      <c r="S155" s="10"/>
    </row>
    <row r="156" spans="1:19" s="9" customFormat="1" ht="12.75">
      <c r="A156" s="379"/>
      <c r="B156" s="40" t="s">
        <v>719</v>
      </c>
      <c r="C156" s="22">
        <v>30</v>
      </c>
      <c r="D156" s="22" t="s">
        <v>24</v>
      </c>
      <c r="E156" s="71">
        <f>F156+G156+H156</f>
        <v>22.64</v>
      </c>
      <c r="F156" s="228">
        <v>2.7072</v>
      </c>
      <c r="G156" s="71">
        <v>4.8</v>
      </c>
      <c r="H156" s="71">
        <v>15.1328</v>
      </c>
      <c r="I156" s="31">
        <v>1712.83</v>
      </c>
      <c r="J156" s="71">
        <v>15.1328</v>
      </c>
      <c r="K156" s="31">
        <v>1712.83</v>
      </c>
      <c r="L156" s="41">
        <f>J156/K156</f>
        <v>0.008834969027866162</v>
      </c>
      <c r="M156" s="23">
        <v>207.1</v>
      </c>
      <c r="N156" s="23">
        <f>L156*M156</f>
        <v>1.829722085671082</v>
      </c>
      <c r="O156" s="23">
        <f>L156*1000*60</f>
        <v>530.0981416719698</v>
      </c>
      <c r="P156" s="42">
        <f>N156*60</f>
        <v>109.78332514026492</v>
      </c>
      <c r="Q156" s="11"/>
      <c r="R156" s="10"/>
      <c r="S156" s="10"/>
    </row>
    <row r="157" spans="1:19" s="9" customFormat="1" ht="12.75">
      <c r="A157" s="379"/>
      <c r="B157" s="49" t="s">
        <v>215</v>
      </c>
      <c r="C157" s="34">
        <v>20</v>
      </c>
      <c r="D157" s="34">
        <v>1975</v>
      </c>
      <c r="E157" s="72">
        <v>15.369</v>
      </c>
      <c r="F157" s="50">
        <v>2.0145</v>
      </c>
      <c r="G157" s="50">
        <v>3.2</v>
      </c>
      <c r="H157" s="72">
        <v>10.1545</v>
      </c>
      <c r="I157" s="68">
        <v>1147.92</v>
      </c>
      <c r="J157" s="72">
        <v>10.15</v>
      </c>
      <c r="K157" s="68">
        <v>1147.92</v>
      </c>
      <c r="L157" s="63">
        <f>J157/K157</f>
        <v>0.008842079587427694</v>
      </c>
      <c r="M157" s="28">
        <v>328.526</v>
      </c>
      <c r="N157" s="62">
        <f>L157*M157</f>
        <v>2.9048530385392706</v>
      </c>
      <c r="O157" s="62">
        <f>L157*60*1000</f>
        <v>530.5247752456617</v>
      </c>
      <c r="P157" s="61">
        <f>O157*M157/1000</f>
        <v>174.29118231235626</v>
      </c>
      <c r="R157" s="10"/>
      <c r="S157" s="10"/>
    </row>
    <row r="158" spans="1:19" s="9" customFormat="1" ht="12.75" customHeight="1">
      <c r="A158" s="379"/>
      <c r="B158" s="49" t="s">
        <v>790</v>
      </c>
      <c r="C158" s="34">
        <v>30</v>
      </c>
      <c r="D158" s="34">
        <v>1990</v>
      </c>
      <c r="E158" s="50">
        <v>22.18</v>
      </c>
      <c r="F158" s="50">
        <v>3.079</v>
      </c>
      <c r="G158" s="50">
        <v>4.8</v>
      </c>
      <c r="H158" s="50">
        <v>14.3</v>
      </c>
      <c r="I158" s="60">
        <v>1613.48</v>
      </c>
      <c r="J158" s="50">
        <v>14.3</v>
      </c>
      <c r="K158" s="60">
        <v>1613.5</v>
      </c>
      <c r="L158" s="51">
        <f>J158/K158</f>
        <v>0.008862720793306477</v>
      </c>
      <c r="M158" s="28">
        <v>216.6</v>
      </c>
      <c r="N158" s="62">
        <f>L158*M158</f>
        <v>1.9196653238301828</v>
      </c>
      <c r="O158" s="62">
        <f>L158*60*1000</f>
        <v>531.7632475983887</v>
      </c>
      <c r="P158" s="61">
        <f>O158*M158/1000</f>
        <v>115.179919429811</v>
      </c>
      <c r="R158" s="10"/>
      <c r="S158" s="10"/>
    </row>
    <row r="159" spans="1:19" s="9" customFormat="1" ht="12.75" customHeight="1">
      <c r="A159" s="379"/>
      <c r="B159" s="49" t="s">
        <v>347</v>
      </c>
      <c r="C159" s="34">
        <v>12</v>
      </c>
      <c r="D159" s="34">
        <v>2007</v>
      </c>
      <c r="E159" s="72">
        <v>7.919</v>
      </c>
      <c r="F159" s="50">
        <v>0.357</v>
      </c>
      <c r="G159" s="50" t="s">
        <v>154</v>
      </c>
      <c r="H159" s="72">
        <v>7.562</v>
      </c>
      <c r="I159" s="68">
        <v>1168.64</v>
      </c>
      <c r="J159" s="72">
        <v>7.43</v>
      </c>
      <c r="K159" s="68">
        <v>833</v>
      </c>
      <c r="L159" s="63">
        <f>J159/K159</f>
        <v>0.008919567827130851</v>
      </c>
      <c r="M159" s="28">
        <v>328.526</v>
      </c>
      <c r="N159" s="62">
        <f>L159*M159</f>
        <v>2.93030993997599</v>
      </c>
      <c r="O159" s="62">
        <f>L159*60*1000</f>
        <v>535.174069627851</v>
      </c>
      <c r="P159" s="61">
        <f>O159*M159/1000</f>
        <v>175.8185963985594</v>
      </c>
      <c r="R159" s="10"/>
      <c r="S159" s="10"/>
    </row>
    <row r="160" spans="1:19" s="9" customFormat="1" ht="12.75">
      <c r="A160" s="379"/>
      <c r="B160" s="122" t="s">
        <v>602</v>
      </c>
      <c r="C160" s="34">
        <v>100</v>
      </c>
      <c r="D160" s="34">
        <v>1969</v>
      </c>
      <c r="E160" s="72">
        <v>62.28</v>
      </c>
      <c r="F160" s="72">
        <v>6.765</v>
      </c>
      <c r="G160" s="72">
        <v>15.77</v>
      </c>
      <c r="H160" s="72">
        <v>39.745</v>
      </c>
      <c r="I160" s="28">
        <v>4440.95</v>
      </c>
      <c r="J160" s="72">
        <v>39.745</v>
      </c>
      <c r="K160" s="28">
        <v>4440.95</v>
      </c>
      <c r="L160" s="63">
        <f>J160/K160</f>
        <v>0.008949661671489207</v>
      </c>
      <c r="M160" s="28">
        <v>302.3</v>
      </c>
      <c r="N160" s="62">
        <f>L160*M160</f>
        <v>2.7054827232911873</v>
      </c>
      <c r="O160" s="62">
        <f>L160*60*1000</f>
        <v>536.9797002893525</v>
      </c>
      <c r="P160" s="61">
        <f>O160*M160/1000</f>
        <v>162.32896339747126</v>
      </c>
      <c r="Q160" s="11"/>
      <c r="R160" s="10"/>
      <c r="S160" s="10"/>
    </row>
    <row r="161" spans="1:19" s="9" customFormat="1" ht="12.75">
      <c r="A161" s="379"/>
      <c r="B161" s="40" t="s">
        <v>81</v>
      </c>
      <c r="C161" s="22">
        <v>59</v>
      </c>
      <c r="D161" s="22">
        <v>2001</v>
      </c>
      <c r="E161" s="71">
        <v>47.944</v>
      </c>
      <c r="F161" s="71">
        <v>8.054348</v>
      </c>
      <c r="G161" s="71">
        <v>9.12</v>
      </c>
      <c r="H161" s="71">
        <v>30.769652</v>
      </c>
      <c r="I161" s="31">
        <v>3432.83</v>
      </c>
      <c r="J161" s="71">
        <v>30.769652</v>
      </c>
      <c r="K161" s="31">
        <v>3432.83</v>
      </c>
      <c r="L161" s="41">
        <f>J161/K161</f>
        <v>0.008963348607417205</v>
      </c>
      <c r="M161" s="22">
        <v>298.66</v>
      </c>
      <c r="N161" s="23">
        <f>L161*M161</f>
        <v>2.6769936950912223</v>
      </c>
      <c r="O161" s="23">
        <f>L161*60*1000</f>
        <v>537.8009164450323</v>
      </c>
      <c r="P161" s="42">
        <f>O161*M161/1000</f>
        <v>160.61962170547335</v>
      </c>
      <c r="R161" s="10"/>
      <c r="S161" s="10"/>
    </row>
    <row r="162" spans="1:19" s="9" customFormat="1" ht="13.5" thickBot="1">
      <c r="A162" s="390"/>
      <c r="B162" s="185" t="s">
        <v>567</v>
      </c>
      <c r="C162" s="110">
        <v>45</v>
      </c>
      <c r="D162" s="110">
        <v>1986</v>
      </c>
      <c r="E162" s="111">
        <v>38.1</v>
      </c>
      <c r="F162" s="111">
        <v>7.23842</v>
      </c>
      <c r="G162" s="111">
        <v>4.5</v>
      </c>
      <c r="H162" s="111">
        <f>E162-F162-G162</f>
        <v>26.361580000000004</v>
      </c>
      <c r="I162" s="112">
        <v>2939.75</v>
      </c>
      <c r="J162" s="111">
        <f>H162</f>
        <v>26.361580000000004</v>
      </c>
      <c r="K162" s="112">
        <f>I162</f>
        <v>2939.75</v>
      </c>
      <c r="L162" s="113">
        <f>J162/K162</f>
        <v>0.00896728633387193</v>
      </c>
      <c r="M162" s="116">
        <v>279.5</v>
      </c>
      <c r="N162" s="114">
        <f>L162*M162</f>
        <v>2.506356530317204</v>
      </c>
      <c r="O162" s="114">
        <f>L162*60*1000</f>
        <v>538.0371800323159</v>
      </c>
      <c r="P162" s="115">
        <f>O162*M162/1000</f>
        <v>150.38139181903227</v>
      </c>
      <c r="Q162" s="11"/>
      <c r="R162" s="10"/>
      <c r="S162" s="10"/>
    </row>
    <row r="163" spans="1:19" s="9" customFormat="1" ht="12.75" customHeight="1">
      <c r="A163" s="271" t="s">
        <v>72</v>
      </c>
      <c r="B163" s="186" t="s">
        <v>308</v>
      </c>
      <c r="C163" s="166">
        <v>16</v>
      </c>
      <c r="D163" s="166">
        <v>1962</v>
      </c>
      <c r="E163" s="142">
        <v>9.04284</v>
      </c>
      <c r="F163" s="142">
        <v>0.867</v>
      </c>
      <c r="G163" s="142">
        <v>2.56</v>
      </c>
      <c r="H163" s="142">
        <v>5.61584</v>
      </c>
      <c r="I163" s="143">
        <v>719.91</v>
      </c>
      <c r="J163" s="142">
        <v>5.275002</v>
      </c>
      <c r="K163" s="143">
        <v>583.82</v>
      </c>
      <c r="L163" s="144">
        <f>J163/K163</f>
        <v>0.009035322530917062</v>
      </c>
      <c r="M163" s="145">
        <v>254.2</v>
      </c>
      <c r="N163" s="146">
        <f>L163*M163</f>
        <v>2.296778987359117</v>
      </c>
      <c r="O163" s="146">
        <f>L163*60*1000</f>
        <v>542.1193518550236</v>
      </c>
      <c r="P163" s="147">
        <f>O163*M163/1000</f>
        <v>137.806739241547</v>
      </c>
      <c r="R163" s="10"/>
      <c r="S163" s="10"/>
    </row>
    <row r="164" spans="1:19" s="9" customFormat="1" ht="12.75">
      <c r="A164" s="271"/>
      <c r="B164" s="83" t="s">
        <v>603</v>
      </c>
      <c r="C164" s="27">
        <v>108</v>
      </c>
      <c r="D164" s="27">
        <v>1975</v>
      </c>
      <c r="E164" s="33">
        <v>84.29</v>
      </c>
      <c r="F164" s="33">
        <v>11.417</v>
      </c>
      <c r="G164" s="33">
        <v>17.28</v>
      </c>
      <c r="H164" s="33">
        <v>55.593</v>
      </c>
      <c r="I164" s="29">
        <v>6152.22</v>
      </c>
      <c r="J164" s="33">
        <v>55.593</v>
      </c>
      <c r="K164" s="29">
        <v>6152.22</v>
      </c>
      <c r="L164" s="55">
        <f>J164/K164</f>
        <v>0.009036250329149478</v>
      </c>
      <c r="M164" s="29">
        <v>302.3</v>
      </c>
      <c r="N164" s="57">
        <f>L164*M164</f>
        <v>2.731658474501887</v>
      </c>
      <c r="O164" s="57">
        <f>L164*60*1000</f>
        <v>542.1750197489687</v>
      </c>
      <c r="P164" s="56">
        <f>O164*M164/1000</f>
        <v>163.89950847011323</v>
      </c>
      <c r="R164" s="39"/>
      <c r="S164" s="10"/>
    </row>
    <row r="165" spans="1:19" s="9" customFormat="1" ht="12.75" customHeight="1">
      <c r="A165" s="271"/>
      <c r="B165" s="43" t="s">
        <v>30</v>
      </c>
      <c r="C165" s="24">
        <v>50</v>
      </c>
      <c r="D165" s="24">
        <v>2006</v>
      </c>
      <c r="E165" s="74">
        <v>36.407</v>
      </c>
      <c r="F165" s="74">
        <v>9.484724</v>
      </c>
      <c r="G165" s="74">
        <v>4</v>
      </c>
      <c r="H165" s="74">
        <v>22.922276</v>
      </c>
      <c r="I165" s="32">
        <v>2532.37</v>
      </c>
      <c r="J165" s="74">
        <v>22.922275</v>
      </c>
      <c r="K165" s="32">
        <v>2532.37</v>
      </c>
      <c r="L165" s="44">
        <f>J165/K165</f>
        <v>0.009051708478618843</v>
      </c>
      <c r="M165" s="24">
        <v>298.66</v>
      </c>
      <c r="N165" s="26">
        <f>L165*M165</f>
        <v>2.703383254224304</v>
      </c>
      <c r="O165" s="26">
        <f>L165*60*1000</f>
        <v>543.1025087171306</v>
      </c>
      <c r="P165" s="45">
        <f>O165*M165/1000</f>
        <v>162.20299525345825</v>
      </c>
      <c r="R165" s="10"/>
      <c r="S165" s="10"/>
    </row>
    <row r="166" spans="1:19" s="9" customFormat="1" ht="12.75">
      <c r="A166" s="271"/>
      <c r="B166" s="43" t="s">
        <v>232</v>
      </c>
      <c r="C166" s="24">
        <v>50</v>
      </c>
      <c r="D166" s="24">
        <v>2000</v>
      </c>
      <c r="E166" s="74">
        <v>37.138</v>
      </c>
      <c r="F166" s="74">
        <v>5.20506</v>
      </c>
      <c r="G166" s="74">
        <v>8</v>
      </c>
      <c r="H166" s="74">
        <v>23.93294</v>
      </c>
      <c r="I166" s="32">
        <v>2639.5</v>
      </c>
      <c r="J166" s="74">
        <v>23.93294</v>
      </c>
      <c r="K166" s="32">
        <v>2639.5</v>
      </c>
      <c r="L166" s="44">
        <f>J166/K166</f>
        <v>0.009067224853191893</v>
      </c>
      <c r="M166" s="24">
        <v>298.66</v>
      </c>
      <c r="N166" s="26">
        <f>L166*M166</f>
        <v>2.708017374654291</v>
      </c>
      <c r="O166" s="26">
        <f>L166*60*1000</f>
        <v>544.0334911915136</v>
      </c>
      <c r="P166" s="45">
        <f>O166*M166/1000</f>
        <v>162.48104247925744</v>
      </c>
      <c r="R166" s="10"/>
      <c r="S166" s="10"/>
    </row>
    <row r="167" spans="1:19" s="9" customFormat="1" ht="12.75">
      <c r="A167" s="271"/>
      <c r="B167" s="43" t="s">
        <v>90</v>
      </c>
      <c r="C167" s="24">
        <v>61</v>
      </c>
      <c r="D167" s="24">
        <v>1975</v>
      </c>
      <c r="E167" s="74">
        <v>50.62</v>
      </c>
      <c r="F167" s="74">
        <v>8.04</v>
      </c>
      <c r="G167" s="74">
        <v>9.6</v>
      </c>
      <c r="H167" s="74">
        <f>E167-F167-G167</f>
        <v>32.98</v>
      </c>
      <c r="I167" s="32">
        <v>3635</v>
      </c>
      <c r="J167" s="74">
        <f>H167/I167*K167</f>
        <v>32.98</v>
      </c>
      <c r="K167" s="24">
        <v>3635</v>
      </c>
      <c r="L167" s="44">
        <f>J167/K167</f>
        <v>0.00907290233837689</v>
      </c>
      <c r="M167" s="139">
        <f>294.4*1.09</f>
        <v>320.896</v>
      </c>
      <c r="N167" s="26">
        <f>L167*M167</f>
        <v>2.9114580687757905</v>
      </c>
      <c r="O167" s="26">
        <f>L167*60*1000</f>
        <v>544.3741403026135</v>
      </c>
      <c r="P167" s="45">
        <f>O167*M167/1000</f>
        <v>174.68748412654747</v>
      </c>
      <c r="R167" s="10"/>
      <c r="S167" s="10"/>
    </row>
    <row r="168" spans="1:19" s="9" customFormat="1" ht="12.75" customHeight="1">
      <c r="A168" s="271"/>
      <c r="B168" s="54" t="s">
        <v>114</v>
      </c>
      <c r="C168" s="27">
        <v>54</v>
      </c>
      <c r="D168" s="27">
        <v>1992</v>
      </c>
      <c r="E168" s="33">
        <v>38.995977</v>
      </c>
      <c r="F168" s="33">
        <v>6.355977</v>
      </c>
      <c r="G168" s="33">
        <v>8.64</v>
      </c>
      <c r="H168" s="33">
        <v>24</v>
      </c>
      <c r="I168" s="37">
        <v>2632.94</v>
      </c>
      <c r="J168" s="33">
        <v>24.000025</v>
      </c>
      <c r="K168" s="37">
        <v>2632.94</v>
      </c>
      <c r="L168" s="55">
        <v>0.009115</v>
      </c>
      <c r="M168" s="29">
        <v>277.1</v>
      </c>
      <c r="N168" s="57">
        <f>L168*M168*1.09</f>
        <v>2.753085485</v>
      </c>
      <c r="O168" s="57">
        <f>L168*60*1000</f>
        <v>546.9</v>
      </c>
      <c r="P168" s="56">
        <f>O168*M168/1000</f>
        <v>151.54599000000002</v>
      </c>
      <c r="R168" s="10"/>
      <c r="S168" s="10"/>
    </row>
    <row r="169" spans="1:19" s="9" customFormat="1" ht="12.75">
      <c r="A169" s="271"/>
      <c r="B169" s="43" t="s">
        <v>474</v>
      </c>
      <c r="C169" s="24">
        <v>60</v>
      </c>
      <c r="D169" s="24">
        <v>1968</v>
      </c>
      <c r="E169" s="74">
        <v>39.4</v>
      </c>
      <c r="F169" s="74">
        <v>4.85</v>
      </c>
      <c r="G169" s="74">
        <v>9.6</v>
      </c>
      <c r="H169" s="74">
        <f>E169-F169-G169</f>
        <v>24.949999999999996</v>
      </c>
      <c r="I169" s="32">
        <v>2731.74</v>
      </c>
      <c r="J169" s="74">
        <v>24.95</v>
      </c>
      <c r="K169" s="32">
        <v>2731.74</v>
      </c>
      <c r="L169" s="44">
        <f>J169/K169</f>
        <v>0.009133372868574609</v>
      </c>
      <c r="M169" s="26">
        <v>264.761</v>
      </c>
      <c r="N169" s="26">
        <f>L169*M169</f>
        <v>2.418160934056682</v>
      </c>
      <c r="O169" s="26">
        <f>L169*1000*60</f>
        <v>548.0023721144765</v>
      </c>
      <c r="P169" s="45">
        <f>N169*60</f>
        <v>145.08965604340094</v>
      </c>
      <c r="R169" s="10"/>
      <c r="S169" s="10"/>
    </row>
    <row r="170" spans="1:19" s="9" customFormat="1" ht="12.75">
      <c r="A170" s="271"/>
      <c r="B170" s="83" t="s">
        <v>604</v>
      </c>
      <c r="C170" s="27">
        <v>119</v>
      </c>
      <c r="D170" s="27">
        <v>1971</v>
      </c>
      <c r="E170" s="33">
        <v>82.919</v>
      </c>
      <c r="F170" s="33">
        <v>11.05</v>
      </c>
      <c r="G170" s="33">
        <v>19.04</v>
      </c>
      <c r="H170" s="33">
        <v>52.829</v>
      </c>
      <c r="I170" s="29">
        <v>5772.18</v>
      </c>
      <c r="J170" s="33">
        <v>52.829</v>
      </c>
      <c r="K170" s="29">
        <v>5772.18</v>
      </c>
      <c r="L170" s="55">
        <f>J170/K170</f>
        <v>0.009152347986376031</v>
      </c>
      <c r="M170" s="29">
        <v>302.3</v>
      </c>
      <c r="N170" s="57">
        <f>L170*M170</f>
        <v>2.7667547962814742</v>
      </c>
      <c r="O170" s="57">
        <f>L170*60*1000</f>
        <v>549.1408791825618</v>
      </c>
      <c r="P170" s="56">
        <f>O170*M170/1000</f>
        <v>166.00528777688842</v>
      </c>
      <c r="Q170" s="11"/>
      <c r="R170" s="10"/>
      <c r="S170" s="10"/>
    </row>
    <row r="171" spans="1:19" s="9" customFormat="1" ht="12.75">
      <c r="A171" s="271"/>
      <c r="B171" s="54" t="s">
        <v>198</v>
      </c>
      <c r="C171" s="27">
        <v>20</v>
      </c>
      <c r="D171" s="27">
        <v>2010</v>
      </c>
      <c r="E171" s="82">
        <v>10.998</v>
      </c>
      <c r="F171" s="82">
        <v>1.632</v>
      </c>
      <c r="G171" s="82">
        <v>0.8</v>
      </c>
      <c r="H171" s="82">
        <v>8.566</v>
      </c>
      <c r="I171" s="37">
        <v>935.41</v>
      </c>
      <c r="J171" s="33">
        <v>8.566</v>
      </c>
      <c r="K171" s="37">
        <v>935.41</v>
      </c>
      <c r="L171" s="55">
        <f>J171/K171</f>
        <v>0.009157481745972355</v>
      </c>
      <c r="M171" s="29">
        <v>337.137</v>
      </c>
      <c r="N171" s="57">
        <f>L171*M171</f>
        <v>3.087325923391882</v>
      </c>
      <c r="O171" s="57">
        <f>L171*60*1000</f>
        <v>549.4489047583413</v>
      </c>
      <c r="P171" s="56">
        <f>O171*M171/1000</f>
        <v>185.2395554035129</v>
      </c>
      <c r="Q171" s="11"/>
      <c r="R171" s="10"/>
      <c r="S171" s="10"/>
    </row>
    <row r="172" spans="1:19" s="9" customFormat="1" ht="12.75">
      <c r="A172" s="271"/>
      <c r="B172" s="295" t="s">
        <v>1014</v>
      </c>
      <c r="C172" s="296">
        <v>75</v>
      </c>
      <c r="D172" s="297" t="s">
        <v>24</v>
      </c>
      <c r="E172" s="298">
        <v>56.79</v>
      </c>
      <c r="F172" s="298">
        <v>8.18</v>
      </c>
      <c r="G172" s="299">
        <v>12</v>
      </c>
      <c r="H172" s="298">
        <v>36.614</v>
      </c>
      <c r="I172" s="236">
        <v>3966.62</v>
      </c>
      <c r="J172" s="298">
        <v>36.36</v>
      </c>
      <c r="K172" s="300">
        <v>3941.34</v>
      </c>
      <c r="L172" s="55">
        <f>J172/K172</f>
        <v>0.009225288861148746</v>
      </c>
      <c r="M172" s="29">
        <v>269.2</v>
      </c>
      <c r="N172" s="57">
        <f>L172*M172</f>
        <v>2.4834477614212425</v>
      </c>
      <c r="O172" s="57">
        <f>L172*60*1000</f>
        <v>553.5173316689248</v>
      </c>
      <c r="P172" s="56">
        <f>O172*M172/1000</f>
        <v>149.00686568527456</v>
      </c>
      <c r="R172" s="10"/>
      <c r="S172" s="10"/>
    </row>
    <row r="173" spans="1:19" s="9" customFormat="1" ht="12.75">
      <c r="A173" s="271"/>
      <c r="B173" s="83" t="s">
        <v>605</v>
      </c>
      <c r="C173" s="27">
        <v>120</v>
      </c>
      <c r="D173" s="27">
        <v>1972</v>
      </c>
      <c r="E173" s="33">
        <v>83.676</v>
      </c>
      <c r="F173" s="33">
        <v>11.609</v>
      </c>
      <c r="G173" s="33">
        <v>19.04</v>
      </c>
      <c r="H173" s="33">
        <v>53.028</v>
      </c>
      <c r="I173" s="29">
        <v>5746.89</v>
      </c>
      <c r="J173" s="33">
        <v>53.028</v>
      </c>
      <c r="K173" s="29">
        <v>5746.89</v>
      </c>
      <c r="L173" s="55">
        <f>J173/K173</f>
        <v>0.0092272516091312</v>
      </c>
      <c r="M173" s="29">
        <v>302.3</v>
      </c>
      <c r="N173" s="57">
        <f>L173*M173</f>
        <v>2.789398161440362</v>
      </c>
      <c r="O173" s="57">
        <f>L173*60*1000</f>
        <v>553.6350965478719</v>
      </c>
      <c r="P173" s="56">
        <f>O173*M173/1000</f>
        <v>167.36388968642166</v>
      </c>
      <c r="Q173" s="11"/>
      <c r="R173" s="10"/>
      <c r="S173" s="10"/>
    </row>
    <row r="174" spans="1:19" s="9" customFormat="1" ht="12.75" customHeight="1">
      <c r="A174" s="271"/>
      <c r="B174" s="83" t="s">
        <v>606</v>
      </c>
      <c r="C174" s="27">
        <v>64</v>
      </c>
      <c r="D174" s="27">
        <v>1970</v>
      </c>
      <c r="E174" s="33">
        <v>41.6</v>
      </c>
      <c r="F174" s="33">
        <v>5.846</v>
      </c>
      <c r="G174" s="33">
        <v>9.6</v>
      </c>
      <c r="H174" s="33">
        <v>26.154</v>
      </c>
      <c r="I174" s="29">
        <v>2791.86</v>
      </c>
      <c r="J174" s="33">
        <v>25.848</v>
      </c>
      <c r="K174" s="29">
        <v>2759.2</v>
      </c>
      <c r="L174" s="55">
        <f>J174/K174</f>
        <v>0.009367932734125834</v>
      </c>
      <c r="M174" s="29">
        <v>302.3</v>
      </c>
      <c r="N174" s="57">
        <f>L174*M174</f>
        <v>2.8319260655262397</v>
      </c>
      <c r="O174" s="57">
        <f>L174*60*1000</f>
        <v>562.07596404755</v>
      </c>
      <c r="P174" s="56">
        <f>O174*M174/1000</f>
        <v>169.91556393157438</v>
      </c>
      <c r="Q174" s="11"/>
      <c r="R174" s="10"/>
      <c r="S174" s="10"/>
    </row>
    <row r="175" spans="1:19" s="9" customFormat="1" ht="12.75">
      <c r="A175" s="271"/>
      <c r="B175" s="54" t="s">
        <v>402</v>
      </c>
      <c r="C175" s="27">
        <v>23</v>
      </c>
      <c r="D175" s="27">
        <v>2009</v>
      </c>
      <c r="E175" s="33">
        <f>F175+G175+H175</f>
        <v>14.25</v>
      </c>
      <c r="F175" s="33">
        <v>1.999</v>
      </c>
      <c r="G175" s="33">
        <v>1.84</v>
      </c>
      <c r="H175" s="33">
        <v>10.411</v>
      </c>
      <c r="I175" s="37">
        <v>1098.31</v>
      </c>
      <c r="J175" s="33">
        <v>10.411</v>
      </c>
      <c r="K175" s="37">
        <v>1098.31</v>
      </c>
      <c r="L175" s="55">
        <f>J175/K175</f>
        <v>0.009479108812630314</v>
      </c>
      <c r="M175" s="29">
        <v>351.85</v>
      </c>
      <c r="N175" s="57">
        <f>L175*M175</f>
        <v>3.335224435723976</v>
      </c>
      <c r="O175" s="57">
        <f>L175*60*1000</f>
        <v>568.7465287578189</v>
      </c>
      <c r="P175" s="56">
        <f>O175*M175/1000</f>
        <v>200.11346614343856</v>
      </c>
      <c r="R175" s="10"/>
      <c r="S175" s="10"/>
    </row>
    <row r="176" spans="1:19" s="9" customFormat="1" ht="12.75">
      <c r="A176" s="271"/>
      <c r="B176" s="43" t="s">
        <v>363</v>
      </c>
      <c r="C176" s="24">
        <v>30</v>
      </c>
      <c r="D176" s="24">
        <v>1982</v>
      </c>
      <c r="E176" s="74">
        <v>24.2</v>
      </c>
      <c r="F176" s="74">
        <v>3.01</v>
      </c>
      <c r="G176" s="74">
        <v>4.8</v>
      </c>
      <c r="H176" s="74">
        <f>E176-F176-G176</f>
        <v>16.389999999999997</v>
      </c>
      <c r="I176" s="32">
        <v>1725.45</v>
      </c>
      <c r="J176" s="74">
        <v>16.39</v>
      </c>
      <c r="K176" s="32">
        <v>1725.45</v>
      </c>
      <c r="L176" s="44">
        <f>J176/K176</f>
        <v>0.009498971282853748</v>
      </c>
      <c r="M176" s="26">
        <v>264.761</v>
      </c>
      <c r="N176" s="26">
        <f>L176*M176</f>
        <v>2.514957135819641</v>
      </c>
      <c r="O176" s="26">
        <f>L176*1000*60</f>
        <v>569.9382769712248</v>
      </c>
      <c r="P176" s="45">
        <f>N176*60</f>
        <v>150.89742814917847</v>
      </c>
      <c r="R176" s="10"/>
      <c r="S176" s="10"/>
    </row>
    <row r="177" spans="1:19" s="9" customFormat="1" ht="12.75" customHeight="1">
      <c r="A177" s="271"/>
      <c r="B177" s="54" t="s">
        <v>637</v>
      </c>
      <c r="C177" s="27">
        <v>22</v>
      </c>
      <c r="D177" s="27">
        <v>2004</v>
      </c>
      <c r="E177" s="33">
        <v>17.881</v>
      </c>
      <c r="F177" s="33">
        <v>2.958</v>
      </c>
      <c r="G177" s="33">
        <v>3.52</v>
      </c>
      <c r="H177" s="33">
        <v>11.403</v>
      </c>
      <c r="I177" s="37">
        <v>1200</v>
      </c>
      <c r="J177" s="33">
        <v>11.403</v>
      </c>
      <c r="K177" s="37">
        <v>1200</v>
      </c>
      <c r="L177" s="55">
        <v>0.009502</v>
      </c>
      <c r="M177" s="29">
        <v>277.1</v>
      </c>
      <c r="N177" s="57">
        <f>L177*M177*1.09</f>
        <v>2.8699745780000003</v>
      </c>
      <c r="O177" s="57">
        <f>L177*60*1000</f>
        <v>570.12</v>
      </c>
      <c r="P177" s="56">
        <f>O177*M177/1000</f>
        <v>157.980252</v>
      </c>
      <c r="R177" s="10"/>
      <c r="S177" s="10"/>
    </row>
    <row r="178" spans="1:16" s="9" customFormat="1" ht="12.75" customHeight="1">
      <c r="A178" s="271"/>
      <c r="B178" s="83" t="s">
        <v>607</v>
      </c>
      <c r="C178" s="27">
        <v>60</v>
      </c>
      <c r="D178" s="27">
        <v>1972</v>
      </c>
      <c r="E178" s="33">
        <v>41.731</v>
      </c>
      <c r="F178" s="33">
        <v>6.176</v>
      </c>
      <c r="G178" s="33">
        <v>9.6</v>
      </c>
      <c r="H178" s="33">
        <v>25.955</v>
      </c>
      <c r="I178" s="29">
        <v>2729.58</v>
      </c>
      <c r="J178" s="33">
        <v>25.955</v>
      </c>
      <c r="K178" s="29">
        <v>2729.58</v>
      </c>
      <c r="L178" s="55">
        <f>J178/K178</f>
        <v>0.009508788897925688</v>
      </c>
      <c r="M178" s="29">
        <v>302.3</v>
      </c>
      <c r="N178" s="57">
        <f>L178*M178</f>
        <v>2.8745068838429355</v>
      </c>
      <c r="O178" s="57">
        <f>L178*60*1000</f>
        <v>570.5273338755412</v>
      </c>
      <c r="P178" s="56">
        <f>O178*M178/1000</f>
        <v>172.4704130305761</v>
      </c>
    </row>
    <row r="179" spans="1:19" s="9" customFormat="1" ht="12.75" customHeight="1">
      <c r="A179" s="271"/>
      <c r="B179" s="54" t="s">
        <v>477</v>
      </c>
      <c r="C179" s="27">
        <v>45</v>
      </c>
      <c r="D179" s="27">
        <v>1982</v>
      </c>
      <c r="E179" s="33">
        <f>F179+G179+H179</f>
        <v>31.523000000000003</v>
      </c>
      <c r="F179" s="33">
        <v>3.419</v>
      </c>
      <c r="G179" s="33">
        <v>6.4</v>
      </c>
      <c r="H179" s="33">
        <v>21.704</v>
      </c>
      <c r="I179" s="37">
        <v>2280.44</v>
      </c>
      <c r="J179" s="33">
        <f>H179</f>
        <v>21.704</v>
      </c>
      <c r="K179" s="37">
        <f>I179</f>
        <v>2280.44</v>
      </c>
      <c r="L179" s="55">
        <f>J179/K179</f>
        <v>0.009517461542509341</v>
      </c>
      <c r="M179" s="29">
        <v>206.9</v>
      </c>
      <c r="N179" s="57">
        <f>L179*M179</f>
        <v>1.9691627931451827</v>
      </c>
      <c r="O179" s="57">
        <f>L179*60*1000</f>
        <v>571.0476925505604</v>
      </c>
      <c r="P179" s="56">
        <f>O179*M179/1000</f>
        <v>118.14976758871097</v>
      </c>
      <c r="R179" s="10"/>
      <c r="S179" s="10"/>
    </row>
    <row r="180" spans="1:19" s="9" customFormat="1" ht="12.75" customHeight="1">
      <c r="A180" s="271"/>
      <c r="B180" s="43" t="s">
        <v>222</v>
      </c>
      <c r="C180" s="24">
        <v>100</v>
      </c>
      <c r="D180" s="24" t="s">
        <v>24</v>
      </c>
      <c r="E180" s="74">
        <f>F180+G180+H180</f>
        <v>60.931000000000004</v>
      </c>
      <c r="F180" s="117">
        <v>9.7124</v>
      </c>
      <c r="G180" s="74">
        <v>16</v>
      </c>
      <c r="H180" s="74">
        <v>35.2186</v>
      </c>
      <c r="I180" s="32">
        <v>3692.95</v>
      </c>
      <c r="J180" s="74">
        <v>35.2186</v>
      </c>
      <c r="K180" s="32">
        <v>3692.95</v>
      </c>
      <c r="L180" s="44">
        <f>J180/K180</f>
        <v>0.009536711842835674</v>
      </c>
      <c r="M180" s="26">
        <v>210</v>
      </c>
      <c r="N180" s="26">
        <f>L180*M180</f>
        <v>2.002709486995492</v>
      </c>
      <c r="O180" s="26">
        <f>L180*1000*60</f>
        <v>572.2027105701404</v>
      </c>
      <c r="P180" s="45">
        <f>N180*60</f>
        <v>120.1625692197295</v>
      </c>
      <c r="R180" s="10"/>
      <c r="S180" s="10"/>
    </row>
    <row r="181" spans="1:19" s="9" customFormat="1" ht="12.75" customHeight="1">
      <c r="A181" s="271"/>
      <c r="B181" s="54" t="s">
        <v>424</v>
      </c>
      <c r="C181" s="27">
        <v>72</v>
      </c>
      <c r="D181" s="27">
        <v>1980</v>
      </c>
      <c r="E181" s="33">
        <v>59.569</v>
      </c>
      <c r="F181" s="33">
        <v>7.752</v>
      </c>
      <c r="G181" s="33">
        <v>11.52</v>
      </c>
      <c r="H181" s="33">
        <v>40.297</v>
      </c>
      <c r="I181" s="37">
        <v>4220</v>
      </c>
      <c r="J181" s="33">
        <v>40.297</v>
      </c>
      <c r="K181" s="37">
        <v>4220</v>
      </c>
      <c r="L181" s="55">
        <v>0.009549</v>
      </c>
      <c r="M181" s="29">
        <v>277.1</v>
      </c>
      <c r="N181" s="57">
        <f>L181*M181*1.09</f>
        <v>2.884170411000001</v>
      </c>
      <c r="O181" s="57">
        <f>L181*60*1000</f>
        <v>572.94</v>
      </c>
      <c r="P181" s="56">
        <f>O181*M181/1000</f>
        <v>158.76167400000003</v>
      </c>
      <c r="R181" s="10"/>
      <c r="S181" s="10"/>
    </row>
    <row r="182" spans="1:19" s="9" customFormat="1" ht="12.75" customHeight="1">
      <c r="A182" s="271"/>
      <c r="B182" s="54" t="s">
        <v>348</v>
      </c>
      <c r="C182" s="27">
        <v>50</v>
      </c>
      <c r="D182" s="27">
        <v>1971</v>
      </c>
      <c r="E182" s="33">
        <v>36.6</v>
      </c>
      <c r="F182" s="33">
        <v>3.774</v>
      </c>
      <c r="G182" s="33">
        <v>8</v>
      </c>
      <c r="H182" s="33">
        <v>24.826</v>
      </c>
      <c r="I182" s="37">
        <v>2592.75</v>
      </c>
      <c r="J182" s="33">
        <v>24.83</v>
      </c>
      <c r="K182" s="37">
        <v>2592.75</v>
      </c>
      <c r="L182" s="55">
        <f>J182/K182</f>
        <v>0.009576704271526371</v>
      </c>
      <c r="M182" s="29">
        <v>326.455</v>
      </c>
      <c r="N182" s="57">
        <f>L182*M182</f>
        <v>3.126362992961141</v>
      </c>
      <c r="O182" s="57">
        <f>L182*60*1000</f>
        <v>574.6022562915822</v>
      </c>
      <c r="P182" s="56">
        <f>O182*M182/1000</f>
        <v>187.58177957766847</v>
      </c>
      <c r="R182" s="10"/>
      <c r="S182" s="10"/>
    </row>
    <row r="183" spans="1:16" s="9" customFormat="1" ht="12.75" customHeight="1">
      <c r="A183" s="271"/>
      <c r="B183" s="43" t="s">
        <v>720</v>
      </c>
      <c r="C183" s="24">
        <v>9</v>
      </c>
      <c r="D183" s="24" t="s">
        <v>24</v>
      </c>
      <c r="E183" s="74">
        <f>F183+G183+H183</f>
        <v>10.396</v>
      </c>
      <c r="F183" s="74">
        <v>2.9707</v>
      </c>
      <c r="G183" s="74">
        <v>1.44</v>
      </c>
      <c r="H183" s="74">
        <v>5.9853</v>
      </c>
      <c r="I183" s="32">
        <v>624.82</v>
      </c>
      <c r="J183" s="74">
        <v>5.9853</v>
      </c>
      <c r="K183" s="32">
        <v>624.82</v>
      </c>
      <c r="L183" s="44">
        <f>J183/K183</f>
        <v>0.009579238820780383</v>
      </c>
      <c r="M183" s="26">
        <v>210</v>
      </c>
      <c r="N183" s="26">
        <f>L183*M183</f>
        <v>2.0116401523638805</v>
      </c>
      <c r="O183" s="26">
        <f>L183*1000*60</f>
        <v>574.754329246823</v>
      </c>
      <c r="P183" s="45">
        <f>N183*60</f>
        <v>120.69840914183283</v>
      </c>
    </row>
    <row r="184" spans="1:19" s="9" customFormat="1" ht="12.75" customHeight="1">
      <c r="A184" s="271"/>
      <c r="B184" s="54" t="s">
        <v>410</v>
      </c>
      <c r="C184" s="27">
        <v>48</v>
      </c>
      <c r="D184" s="27">
        <v>1961</v>
      </c>
      <c r="E184" s="33">
        <v>34.67</v>
      </c>
      <c r="F184" s="33">
        <v>4.89</v>
      </c>
      <c r="G184" s="33">
        <v>7.68</v>
      </c>
      <c r="H184" s="33">
        <v>22.1</v>
      </c>
      <c r="I184" s="230"/>
      <c r="J184" s="33">
        <f>H184</f>
        <v>22.1</v>
      </c>
      <c r="K184" s="37">
        <v>2297</v>
      </c>
      <c r="L184" s="55">
        <f>J184/K184</f>
        <v>0.009621245102307358</v>
      </c>
      <c r="M184" s="29">
        <v>187.69</v>
      </c>
      <c r="N184" s="57">
        <f>L184*M184</f>
        <v>1.805811493252068</v>
      </c>
      <c r="O184" s="57">
        <f>L184*60*1000</f>
        <v>577.2747061384415</v>
      </c>
      <c r="P184" s="56">
        <f>O184*M184/1000</f>
        <v>108.34868959512409</v>
      </c>
      <c r="R184" s="10"/>
      <c r="S184" s="10"/>
    </row>
    <row r="185" spans="1:16" s="9" customFormat="1" ht="12.75" customHeight="1">
      <c r="A185" s="271"/>
      <c r="B185" s="54" t="s">
        <v>638</v>
      </c>
      <c r="C185" s="27">
        <v>56</v>
      </c>
      <c r="D185" s="27">
        <v>1991</v>
      </c>
      <c r="E185" s="33">
        <v>56.881973</v>
      </c>
      <c r="F185" s="33">
        <v>9.87615</v>
      </c>
      <c r="G185" s="33">
        <v>13.36</v>
      </c>
      <c r="H185" s="33">
        <v>33.645823</v>
      </c>
      <c r="I185" s="37">
        <v>3478.2</v>
      </c>
      <c r="J185" s="33">
        <v>32.241023</v>
      </c>
      <c r="K185" s="37">
        <v>3303.97</v>
      </c>
      <c r="L185" s="55">
        <v>0.0096733</v>
      </c>
      <c r="M185" s="29">
        <v>277.1</v>
      </c>
      <c r="N185" s="57">
        <f>L185*M185*1.09</f>
        <v>2.9217138587</v>
      </c>
      <c r="O185" s="57">
        <f>L185*60*1000</f>
        <v>580.398</v>
      </c>
      <c r="P185" s="56">
        <f>M185*O185/1000</f>
        <v>160.8282858</v>
      </c>
    </row>
    <row r="186" spans="1:19" s="9" customFormat="1" ht="12.75">
      <c r="A186" s="271"/>
      <c r="B186" s="54" t="s">
        <v>697</v>
      </c>
      <c r="C186" s="27">
        <v>50</v>
      </c>
      <c r="D186" s="27" t="s">
        <v>24</v>
      </c>
      <c r="E186" s="33">
        <v>26.32</v>
      </c>
      <c r="F186" s="33">
        <v>6.94</v>
      </c>
      <c r="G186" s="33">
        <v>0.46</v>
      </c>
      <c r="H186" s="33">
        <v>18.92</v>
      </c>
      <c r="I186" s="37">
        <v>1953</v>
      </c>
      <c r="J186" s="33">
        <v>18.92</v>
      </c>
      <c r="K186" s="37">
        <v>1953</v>
      </c>
      <c r="L186" s="55">
        <f>J186/K186</f>
        <v>0.009687660010240656</v>
      </c>
      <c r="M186" s="29">
        <v>234.2</v>
      </c>
      <c r="N186" s="57">
        <f>L186*M186</f>
        <v>2.2688499743983614</v>
      </c>
      <c r="O186" s="57">
        <f>L186*60*1000</f>
        <v>581.2596006144394</v>
      </c>
      <c r="P186" s="56">
        <f>O186*M186/1000</f>
        <v>136.1309984639017</v>
      </c>
      <c r="R186" s="10"/>
      <c r="S186" s="10"/>
    </row>
    <row r="187" spans="1:19" s="9" customFormat="1" ht="12.75">
      <c r="A187" s="271"/>
      <c r="B187" s="43" t="s">
        <v>179</v>
      </c>
      <c r="C187" s="24">
        <v>72</v>
      </c>
      <c r="D187" s="24">
        <v>1973</v>
      </c>
      <c r="E187" s="74">
        <v>55.32</v>
      </c>
      <c r="F187" s="74">
        <v>7.02</v>
      </c>
      <c r="G187" s="74">
        <v>11.52</v>
      </c>
      <c r="H187" s="74">
        <f>E187-F187-G187</f>
        <v>36.78</v>
      </c>
      <c r="I187" s="32">
        <v>3785.4</v>
      </c>
      <c r="J187" s="74">
        <f>H187/I187*K187</f>
        <v>36.77611348866698</v>
      </c>
      <c r="K187" s="24">
        <v>3785</v>
      </c>
      <c r="L187" s="44">
        <f>J187/K187</f>
        <v>0.009716278332540814</v>
      </c>
      <c r="M187" s="139">
        <f>294.4*1.09</f>
        <v>320.896</v>
      </c>
      <c r="N187" s="26">
        <f>L187*M187</f>
        <v>3.1179148517990174</v>
      </c>
      <c r="O187" s="26">
        <f>L187*60*1000</f>
        <v>582.9766999524488</v>
      </c>
      <c r="P187" s="45">
        <f>O187*M187/1000</f>
        <v>187.07489110794103</v>
      </c>
      <c r="Q187" s="11"/>
      <c r="R187" s="10"/>
      <c r="S187" s="10"/>
    </row>
    <row r="188" spans="1:19" s="9" customFormat="1" ht="12.75">
      <c r="A188" s="271"/>
      <c r="B188" s="54" t="s">
        <v>430</v>
      </c>
      <c r="C188" s="27">
        <v>12</v>
      </c>
      <c r="D188" s="27">
        <v>1963</v>
      </c>
      <c r="E188" s="33">
        <v>8.004994</v>
      </c>
      <c r="F188" s="33">
        <v>0.918</v>
      </c>
      <c r="G188" s="33">
        <v>1.92</v>
      </c>
      <c r="H188" s="33">
        <v>5.166994</v>
      </c>
      <c r="I188" s="37">
        <v>528.5</v>
      </c>
      <c r="J188" s="33">
        <v>5.167001</v>
      </c>
      <c r="K188" s="37">
        <v>528.5</v>
      </c>
      <c r="L188" s="55">
        <f>J188/K188</f>
        <v>0.009776728476821192</v>
      </c>
      <c r="M188" s="29">
        <v>254.2</v>
      </c>
      <c r="N188" s="57">
        <f>L188*M188</f>
        <v>2.485244378807947</v>
      </c>
      <c r="O188" s="57">
        <f>L188*60*1000</f>
        <v>586.6037086092715</v>
      </c>
      <c r="P188" s="56">
        <f>O188*M188/1000</f>
        <v>149.11466272847682</v>
      </c>
      <c r="Q188" s="11"/>
      <c r="R188" s="10"/>
      <c r="S188" s="10"/>
    </row>
    <row r="189" spans="1:19" s="9" customFormat="1" ht="12.75">
      <c r="A189" s="271"/>
      <c r="B189" s="234" t="s">
        <v>890</v>
      </c>
      <c r="C189" s="27">
        <v>40</v>
      </c>
      <c r="D189" s="27">
        <v>1989</v>
      </c>
      <c r="E189" s="235">
        <f>F189+G189+H189</f>
        <v>22.5</v>
      </c>
      <c r="F189" s="235">
        <v>4.85</v>
      </c>
      <c r="G189" s="235">
        <v>6.4</v>
      </c>
      <c r="H189" s="235">
        <v>11.25</v>
      </c>
      <c r="I189" s="236">
        <v>2290.61</v>
      </c>
      <c r="J189" s="235">
        <f>E189</f>
        <v>22.5</v>
      </c>
      <c r="K189" s="236">
        <v>2290.61</v>
      </c>
      <c r="L189" s="237">
        <f>J189/K189</f>
        <v>0.009822710980917746</v>
      </c>
      <c r="M189" s="238">
        <v>244.38</v>
      </c>
      <c r="N189" s="239">
        <f>L189*M189</f>
        <v>2.400474109516679</v>
      </c>
      <c r="O189" s="239">
        <f>L189*60*1000</f>
        <v>589.3626588550648</v>
      </c>
      <c r="P189" s="240">
        <f>O189*M189/1000</f>
        <v>144.02844657100073</v>
      </c>
      <c r="R189" s="10"/>
      <c r="S189" s="10"/>
    </row>
    <row r="190" spans="1:19" s="9" customFormat="1" ht="12.75">
      <c r="A190" s="271"/>
      <c r="B190" s="54" t="s">
        <v>698</v>
      </c>
      <c r="C190" s="27">
        <v>48</v>
      </c>
      <c r="D190" s="27" t="s">
        <v>24</v>
      </c>
      <c r="E190" s="33">
        <v>26.74</v>
      </c>
      <c r="F190" s="33">
        <v>6.89</v>
      </c>
      <c r="G190" s="33">
        <v>0.46</v>
      </c>
      <c r="H190" s="33">
        <v>19.39</v>
      </c>
      <c r="I190" s="37">
        <v>1971</v>
      </c>
      <c r="J190" s="33">
        <v>19.39</v>
      </c>
      <c r="K190" s="37">
        <v>1971</v>
      </c>
      <c r="L190" s="55">
        <f>J190/K190</f>
        <v>0.009837645865043126</v>
      </c>
      <c r="M190" s="29">
        <v>234.2</v>
      </c>
      <c r="N190" s="57">
        <f>L190*M190</f>
        <v>2.3039766615931</v>
      </c>
      <c r="O190" s="57">
        <f>L190*60*1000</f>
        <v>590.2587519025876</v>
      </c>
      <c r="P190" s="56">
        <f>O190*M190/1000</f>
        <v>138.238599695586</v>
      </c>
      <c r="R190" s="10"/>
      <c r="S190" s="10"/>
    </row>
    <row r="191" spans="1:19" s="9" customFormat="1" ht="12.75" customHeight="1">
      <c r="A191" s="271"/>
      <c r="B191" s="54" t="s">
        <v>568</v>
      </c>
      <c r="C191" s="27">
        <v>121</v>
      </c>
      <c r="D191" s="27">
        <v>1989</v>
      </c>
      <c r="E191" s="33">
        <v>122.5</v>
      </c>
      <c r="F191" s="33">
        <v>26.40255</v>
      </c>
      <c r="G191" s="33">
        <v>16.8</v>
      </c>
      <c r="H191" s="33">
        <f>E191-F191-G191</f>
        <v>79.29745</v>
      </c>
      <c r="I191" s="37">
        <v>8057.37</v>
      </c>
      <c r="J191" s="33">
        <f>H191</f>
        <v>79.29745</v>
      </c>
      <c r="K191" s="37">
        <f>I191</f>
        <v>8057.37</v>
      </c>
      <c r="L191" s="55">
        <f>J191/K191</f>
        <v>0.009841604642705995</v>
      </c>
      <c r="M191" s="29">
        <v>279.5</v>
      </c>
      <c r="N191" s="57">
        <f>L191*M191</f>
        <v>2.7507284976363255</v>
      </c>
      <c r="O191" s="57">
        <f>L191*60*1000</f>
        <v>590.4962785623596</v>
      </c>
      <c r="P191" s="56">
        <f>O191*M191/1000</f>
        <v>165.04370985817954</v>
      </c>
      <c r="Q191" s="11"/>
      <c r="R191" s="10"/>
      <c r="S191" s="10"/>
    </row>
    <row r="192" spans="1:19" s="9" customFormat="1" ht="12.75">
      <c r="A192" s="271"/>
      <c r="B192" s="54" t="s">
        <v>800</v>
      </c>
      <c r="C192" s="27">
        <v>12</v>
      </c>
      <c r="D192" s="27" t="s">
        <v>24</v>
      </c>
      <c r="E192" s="33">
        <f>F192+G192+H192</f>
        <v>10.574</v>
      </c>
      <c r="F192" s="33">
        <v>1.701</v>
      </c>
      <c r="G192" s="33">
        <v>1.92</v>
      </c>
      <c r="H192" s="33">
        <v>6.953</v>
      </c>
      <c r="I192" s="37">
        <v>701.94</v>
      </c>
      <c r="J192" s="33">
        <v>6.953</v>
      </c>
      <c r="K192" s="37">
        <v>701.94</v>
      </c>
      <c r="L192" s="55">
        <f>J192/K192</f>
        <v>0.009905405020372111</v>
      </c>
      <c r="M192" s="29">
        <v>351.85</v>
      </c>
      <c r="N192" s="57">
        <f>L192*M192</f>
        <v>3.4852167564179277</v>
      </c>
      <c r="O192" s="57">
        <f>L192*60*1000</f>
        <v>594.3243012223268</v>
      </c>
      <c r="P192" s="56">
        <f>O192*M192/1000</f>
        <v>209.1130053850757</v>
      </c>
      <c r="R192" s="10"/>
      <c r="S192" s="10"/>
    </row>
    <row r="193" spans="1:19" s="9" customFormat="1" ht="12.75">
      <c r="A193" s="271"/>
      <c r="B193" s="54" t="s">
        <v>526</v>
      </c>
      <c r="C193" s="27">
        <v>80</v>
      </c>
      <c r="D193" s="27">
        <v>1972</v>
      </c>
      <c r="E193" s="33">
        <v>57.7</v>
      </c>
      <c r="F193" s="33">
        <v>6.2</v>
      </c>
      <c r="G193" s="33">
        <v>12.7</v>
      </c>
      <c r="H193" s="33">
        <v>38.8</v>
      </c>
      <c r="I193" s="37">
        <v>3909</v>
      </c>
      <c r="J193" s="33">
        <v>38.8</v>
      </c>
      <c r="K193" s="37">
        <v>3909</v>
      </c>
      <c r="L193" s="55">
        <f>J193/K193</f>
        <v>0.009925812228191352</v>
      </c>
      <c r="M193" s="29">
        <v>250.6</v>
      </c>
      <c r="N193" s="57">
        <f>L193*M193</f>
        <v>2.4874085443847527</v>
      </c>
      <c r="O193" s="57">
        <f>L193*60*1000</f>
        <v>595.5487336914811</v>
      </c>
      <c r="P193" s="56">
        <f>O193*M193/1000</f>
        <v>149.24451266308515</v>
      </c>
      <c r="R193" s="10"/>
      <c r="S193" s="10"/>
    </row>
    <row r="194" spans="1:19" s="9" customFormat="1" ht="12.75">
      <c r="A194" s="271"/>
      <c r="B194" s="43" t="s">
        <v>93</v>
      </c>
      <c r="C194" s="24">
        <v>54</v>
      </c>
      <c r="D194" s="24">
        <v>1985</v>
      </c>
      <c r="E194" s="74">
        <v>52.23</v>
      </c>
      <c r="F194" s="74">
        <v>9.18</v>
      </c>
      <c r="G194" s="74">
        <v>8.48</v>
      </c>
      <c r="H194" s="74">
        <f>E194-F194-G194</f>
        <v>34.56999999999999</v>
      </c>
      <c r="I194" s="32">
        <v>3480</v>
      </c>
      <c r="J194" s="74">
        <f>H194/I194*K194</f>
        <v>34.56999999999999</v>
      </c>
      <c r="K194" s="24">
        <v>3480</v>
      </c>
      <c r="L194" s="44">
        <f>J194/K194</f>
        <v>0.00993390804597701</v>
      </c>
      <c r="M194" s="139">
        <f>294.4*1.09</f>
        <v>320.896</v>
      </c>
      <c r="N194" s="26">
        <f>L194*M194</f>
        <v>3.1877513563218387</v>
      </c>
      <c r="O194" s="26">
        <f>L194*60*1000</f>
        <v>596.0344827586206</v>
      </c>
      <c r="P194" s="45">
        <f>O194*M194/1000</f>
        <v>191.26508137931032</v>
      </c>
      <c r="R194" s="10"/>
      <c r="S194" s="10"/>
    </row>
    <row r="195" spans="1:19" s="9" customFormat="1" ht="12.75">
      <c r="A195" s="271"/>
      <c r="B195" s="199" t="s">
        <v>125</v>
      </c>
      <c r="C195" s="269">
        <v>49</v>
      </c>
      <c r="D195" s="200">
        <v>1969</v>
      </c>
      <c r="E195" s="201">
        <v>37.526046</v>
      </c>
      <c r="F195" s="202">
        <v>4.539</v>
      </c>
      <c r="G195" s="202">
        <v>7.84</v>
      </c>
      <c r="H195" s="202">
        <v>25.147046</v>
      </c>
      <c r="I195" s="203">
        <v>2600.39</v>
      </c>
      <c r="J195" s="202">
        <v>25.147046</v>
      </c>
      <c r="K195" s="203">
        <v>2528.6</v>
      </c>
      <c r="L195" s="204">
        <v>0.009945047061615123</v>
      </c>
      <c r="M195" s="205">
        <v>314.574</v>
      </c>
      <c r="N195" s="206">
        <v>3.128453234360516</v>
      </c>
      <c r="O195" s="206">
        <v>596.7028236969074</v>
      </c>
      <c r="P195" s="207">
        <v>187.70719406163096</v>
      </c>
      <c r="R195" s="10"/>
      <c r="S195" s="10"/>
    </row>
    <row r="196" spans="1:19" s="9" customFormat="1" ht="12.75">
      <c r="A196" s="271"/>
      <c r="B196" s="43" t="s">
        <v>141</v>
      </c>
      <c r="C196" s="24">
        <v>50</v>
      </c>
      <c r="D196" s="24">
        <v>1992</v>
      </c>
      <c r="E196" s="74">
        <f>SUM(F196:H196)</f>
        <v>36.0816</v>
      </c>
      <c r="F196" s="74">
        <v>3.67</v>
      </c>
      <c r="G196" s="74">
        <v>7.84</v>
      </c>
      <c r="H196" s="74">
        <v>24.5716</v>
      </c>
      <c r="I196" s="32">
        <v>2469.68</v>
      </c>
      <c r="J196" s="74">
        <v>24.5716</v>
      </c>
      <c r="K196" s="32">
        <v>2469.68</v>
      </c>
      <c r="L196" s="44">
        <f>J196/K196</f>
        <v>0.009949305173139841</v>
      </c>
      <c r="M196" s="26">
        <v>285.3</v>
      </c>
      <c r="N196" s="26">
        <f>L196*M196*1.09</f>
        <v>3.094005074827509</v>
      </c>
      <c r="O196" s="26">
        <f>L196*60*1000</f>
        <v>596.9583103883904</v>
      </c>
      <c r="P196" s="45">
        <v>185.64030448965056</v>
      </c>
      <c r="R196" s="10"/>
      <c r="S196" s="10"/>
    </row>
    <row r="197" spans="1:19" s="9" customFormat="1" ht="12.75">
      <c r="A197" s="271"/>
      <c r="B197" s="54" t="s">
        <v>244</v>
      </c>
      <c r="C197" s="27">
        <v>24</v>
      </c>
      <c r="D197" s="27">
        <v>2010</v>
      </c>
      <c r="E197" s="33">
        <v>12.0433</v>
      </c>
      <c r="F197" s="33" t="s">
        <v>154</v>
      </c>
      <c r="G197" s="33">
        <v>1.92</v>
      </c>
      <c r="H197" s="33">
        <v>10.1233</v>
      </c>
      <c r="I197" s="37">
        <v>1016.52</v>
      </c>
      <c r="J197" s="33">
        <v>10.12</v>
      </c>
      <c r="K197" s="37">
        <v>1016.52</v>
      </c>
      <c r="L197" s="55">
        <f>J197/K197</f>
        <v>0.009955534568921417</v>
      </c>
      <c r="M197" s="29">
        <v>328.526</v>
      </c>
      <c r="N197" s="57">
        <f>L197*M197</f>
        <v>3.2706519497894777</v>
      </c>
      <c r="O197" s="57">
        <f>L197*60*1000</f>
        <v>597.332074135285</v>
      </c>
      <c r="P197" s="56">
        <f>O197*M197/1000</f>
        <v>196.23911698736865</v>
      </c>
      <c r="R197" s="10"/>
      <c r="S197" s="10"/>
    </row>
    <row r="198" spans="1:19" s="9" customFormat="1" ht="12.75" customHeight="1">
      <c r="A198" s="271"/>
      <c r="B198" s="54" t="s">
        <v>826</v>
      </c>
      <c r="C198" s="27">
        <v>12</v>
      </c>
      <c r="D198" s="27">
        <v>1986</v>
      </c>
      <c r="E198" s="33">
        <v>8.5</v>
      </c>
      <c r="F198" s="33">
        <v>0.396</v>
      </c>
      <c r="G198" s="33">
        <v>1.28</v>
      </c>
      <c r="H198" s="33">
        <v>6.823</v>
      </c>
      <c r="I198" s="82" t="s">
        <v>827</v>
      </c>
      <c r="J198" s="33">
        <v>6.823</v>
      </c>
      <c r="K198" s="37">
        <v>682.92</v>
      </c>
      <c r="L198" s="55">
        <f>J198/K198</f>
        <v>0.009990921337784807</v>
      </c>
      <c r="M198" s="29">
        <v>346.4</v>
      </c>
      <c r="N198" s="57">
        <f>L198*M198</f>
        <v>3.4608551514086567</v>
      </c>
      <c r="O198" s="57">
        <f>L198*60*1000</f>
        <v>599.4552802670884</v>
      </c>
      <c r="P198" s="56">
        <f>O198*M198/1000</f>
        <v>207.6513090845194</v>
      </c>
      <c r="R198" s="10"/>
      <c r="S198" s="10"/>
    </row>
    <row r="199" spans="1:19" s="9" customFormat="1" ht="11.25" customHeight="1">
      <c r="A199" s="271"/>
      <c r="B199" s="43" t="s">
        <v>459</v>
      </c>
      <c r="C199" s="24">
        <v>51</v>
      </c>
      <c r="D199" s="24" t="s">
        <v>24</v>
      </c>
      <c r="E199" s="74">
        <f>F199+G199+H199</f>
        <v>38.425</v>
      </c>
      <c r="F199" s="74">
        <v>4.5401</v>
      </c>
      <c r="G199" s="74">
        <v>7.92</v>
      </c>
      <c r="H199" s="74">
        <v>25.9649</v>
      </c>
      <c r="I199" s="32">
        <v>2596.6</v>
      </c>
      <c r="J199" s="74">
        <v>25.9649</v>
      </c>
      <c r="K199" s="32">
        <v>2596.6</v>
      </c>
      <c r="L199" s="44">
        <f>J199/K199</f>
        <v>0.009999576369098052</v>
      </c>
      <c r="M199" s="26">
        <v>210</v>
      </c>
      <c r="N199" s="26">
        <f>L199*M199</f>
        <v>2.0999110375105907</v>
      </c>
      <c r="O199" s="26">
        <f>L199*1000*60</f>
        <v>599.9745821458831</v>
      </c>
      <c r="P199" s="45">
        <f>N199*60</f>
        <v>125.99466225063544</v>
      </c>
      <c r="R199" s="10"/>
      <c r="S199" s="10"/>
    </row>
    <row r="200" spans="1:19" s="9" customFormat="1" ht="12.75" customHeight="1">
      <c r="A200" s="271"/>
      <c r="B200" s="54" t="s">
        <v>425</v>
      </c>
      <c r="C200" s="27">
        <v>75</v>
      </c>
      <c r="D200" s="27">
        <v>1987</v>
      </c>
      <c r="E200" s="33">
        <v>60.385</v>
      </c>
      <c r="F200" s="33">
        <v>8.180808</v>
      </c>
      <c r="G200" s="33">
        <v>12</v>
      </c>
      <c r="H200" s="33">
        <v>40.204192</v>
      </c>
      <c r="I200" s="37">
        <v>4017.2</v>
      </c>
      <c r="J200" s="33">
        <v>40.204192</v>
      </c>
      <c r="K200" s="37">
        <v>4017.2</v>
      </c>
      <c r="L200" s="55">
        <v>0.010008</v>
      </c>
      <c r="M200" s="29">
        <v>277.1</v>
      </c>
      <c r="N200" s="57">
        <f>L200*M200*1.09</f>
        <v>3.022806312</v>
      </c>
      <c r="O200" s="57">
        <f>L200*60*1000</f>
        <v>600.48</v>
      </c>
      <c r="P200" s="56">
        <f>M200*O200/1000</f>
        <v>166.39300800000004</v>
      </c>
      <c r="R200" s="10"/>
      <c r="S200" s="10"/>
    </row>
    <row r="201" spans="1:19" s="9" customFormat="1" ht="12.75" customHeight="1">
      <c r="A201" s="271"/>
      <c r="B201" s="54" t="s">
        <v>214</v>
      </c>
      <c r="C201" s="27">
        <v>50</v>
      </c>
      <c r="D201" s="27">
        <v>1970</v>
      </c>
      <c r="E201" s="33">
        <v>39.031</v>
      </c>
      <c r="F201" s="33">
        <v>5.304</v>
      </c>
      <c r="G201" s="33">
        <v>8</v>
      </c>
      <c r="H201" s="33">
        <v>25.727</v>
      </c>
      <c r="I201" s="37">
        <v>2565.91</v>
      </c>
      <c r="J201" s="33">
        <v>25.73</v>
      </c>
      <c r="K201" s="37">
        <v>2565.91</v>
      </c>
      <c r="L201" s="55">
        <f>J201/K201</f>
        <v>0.010027631522539762</v>
      </c>
      <c r="M201" s="29">
        <v>328.526</v>
      </c>
      <c r="N201" s="57">
        <f>L201*M201</f>
        <v>3.294337673573898</v>
      </c>
      <c r="O201" s="57">
        <f>L201*60*1000</f>
        <v>601.6578913523857</v>
      </c>
      <c r="P201" s="56">
        <f>O201*M201/1000</f>
        <v>197.66026041443388</v>
      </c>
      <c r="Q201" s="11"/>
      <c r="R201" s="10"/>
      <c r="S201" s="10"/>
    </row>
    <row r="202" spans="1:19" s="9" customFormat="1" ht="12.75" customHeight="1">
      <c r="A202" s="271"/>
      <c r="B202" s="54" t="s">
        <v>699</v>
      </c>
      <c r="C202" s="27">
        <v>75</v>
      </c>
      <c r="D202" s="27" t="s">
        <v>24</v>
      </c>
      <c r="E202" s="33">
        <v>58.32</v>
      </c>
      <c r="F202" s="33">
        <v>6.43</v>
      </c>
      <c r="G202" s="33">
        <v>11.85</v>
      </c>
      <c r="H202" s="33">
        <v>40.04</v>
      </c>
      <c r="I202" s="37">
        <v>3987</v>
      </c>
      <c r="J202" s="33">
        <v>40.04</v>
      </c>
      <c r="K202" s="37">
        <v>3987</v>
      </c>
      <c r="L202" s="55">
        <f>J202/K202</f>
        <v>0.010042638575369953</v>
      </c>
      <c r="M202" s="29">
        <v>234.2</v>
      </c>
      <c r="N202" s="57">
        <f>L202*M202</f>
        <v>2.3519859543516426</v>
      </c>
      <c r="O202" s="57">
        <f>L202*60*1000</f>
        <v>602.5583145221971</v>
      </c>
      <c r="P202" s="56">
        <f>O202*M202/1000</f>
        <v>141.11915726109856</v>
      </c>
      <c r="R202" s="10"/>
      <c r="S202" s="10"/>
    </row>
    <row r="203" spans="1:22" s="9" customFormat="1" ht="12.75" customHeight="1">
      <c r="A203" s="271"/>
      <c r="B203" s="54" t="s">
        <v>357</v>
      </c>
      <c r="C203" s="27">
        <v>45</v>
      </c>
      <c r="D203" s="27" t="s">
        <v>24</v>
      </c>
      <c r="E203" s="33">
        <v>40.76</v>
      </c>
      <c r="F203" s="33">
        <v>4.03</v>
      </c>
      <c r="G203" s="33">
        <v>7.2</v>
      </c>
      <c r="H203" s="33">
        <v>29.53</v>
      </c>
      <c r="I203" s="37">
        <v>2938</v>
      </c>
      <c r="J203" s="33">
        <v>29.53</v>
      </c>
      <c r="K203" s="37">
        <v>2938</v>
      </c>
      <c r="L203" s="55">
        <f>J203/K203</f>
        <v>0.010051055139550714</v>
      </c>
      <c r="M203" s="29">
        <v>234.2</v>
      </c>
      <c r="N203" s="57">
        <f>L203*M203</f>
        <v>2.3539571136827773</v>
      </c>
      <c r="O203" s="57">
        <f>L203*60*1000</f>
        <v>603.0633083730429</v>
      </c>
      <c r="P203" s="56">
        <f>O203*M203/1000</f>
        <v>141.23742682096665</v>
      </c>
      <c r="Q203" s="10"/>
      <c r="R203" s="10"/>
      <c r="S203" s="10"/>
      <c r="T203" s="12"/>
      <c r="U203" s="13"/>
      <c r="V203" s="13"/>
    </row>
    <row r="204" spans="1:19" s="9" customFormat="1" ht="12.75" customHeight="1">
      <c r="A204" s="271"/>
      <c r="B204" s="43" t="s">
        <v>460</v>
      </c>
      <c r="C204" s="24">
        <v>20</v>
      </c>
      <c r="D204" s="24" t="s">
        <v>24</v>
      </c>
      <c r="E204" s="74">
        <f>F204+G204+H204</f>
        <v>18.18</v>
      </c>
      <c r="F204" s="74">
        <v>3.7554</v>
      </c>
      <c r="G204" s="74">
        <v>3.2</v>
      </c>
      <c r="H204" s="74">
        <v>11.2246</v>
      </c>
      <c r="I204" s="32">
        <v>1116.28</v>
      </c>
      <c r="J204" s="74">
        <v>11.2246</v>
      </c>
      <c r="K204" s="32">
        <v>1116.28</v>
      </c>
      <c r="L204" s="44">
        <f>J204/K204</f>
        <v>0.010055362453864623</v>
      </c>
      <c r="M204" s="26">
        <v>210</v>
      </c>
      <c r="N204" s="26">
        <f>L204*M204</f>
        <v>2.1116261153115707</v>
      </c>
      <c r="O204" s="26">
        <f>L204*1000*60</f>
        <v>603.3217472318773</v>
      </c>
      <c r="P204" s="45">
        <f>N204*60</f>
        <v>126.69756691869425</v>
      </c>
      <c r="R204" s="10"/>
      <c r="S204" s="10"/>
    </row>
    <row r="205" spans="1:22" s="9" customFormat="1" ht="12.75" customHeight="1">
      <c r="A205" s="271"/>
      <c r="B205" s="54" t="s">
        <v>250</v>
      </c>
      <c r="C205" s="27">
        <v>20</v>
      </c>
      <c r="D205" s="27" t="s">
        <v>24</v>
      </c>
      <c r="E205" s="33">
        <v>18.3</v>
      </c>
      <c r="F205" s="33">
        <f>28*0.051</f>
        <v>1.428</v>
      </c>
      <c r="G205" s="33">
        <f>25*0.16</f>
        <v>4</v>
      </c>
      <c r="H205" s="33">
        <f>+E205-F205-G205</f>
        <v>12.872</v>
      </c>
      <c r="I205" s="230"/>
      <c r="J205" s="33">
        <f>+H205</f>
        <v>12.872</v>
      </c>
      <c r="K205" s="37">
        <v>1276.41</v>
      </c>
      <c r="L205" s="55">
        <f>J205/K205</f>
        <v>0.01008453396635877</v>
      </c>
      <c r="M205" s="29">
        <v>343.2</v>
      </c>
      <c r="N205" s="57">
        <f>L205*M205</f>
        <v>3.46101205725433</v>
      </c>
      <c r="O205" s="57">
        <f>L205*60*1000</f>
        <v>605.0720379815263</v>
      </c>
      <c r="P205" s="56">
        <f>O205*M205/1000</f>
        <v>207.6607234352598</v>
      </c>
      <c r="Q205" s="10"/>
      <c r="R205" s="10"/>
      <c r="S205" s="10"/>
      <c r="T205" s="12"/>
      <c r="U205" s="13"/>
      <c r="V205" s="13"/>
    </row>
    <row r="206" spans="1:19" s="9" customFormat="1" ht="13.5" customHeight="1">
      <c r="A206" s="271"/>
      <c r="B206" s="54" t="s">
        <v>269</v>
      </c>
      <c r="C206" s="27">
        <v>72</v>
      </c>
      <c r="D206" s="27">
        <v>1990</v>
      </c>
      <c r="E206" s="33">
        <v>71.44</v>
      </c>
      <c r="F206" s="33">
        <v>12.89866</v>
      </c>
      <c r="G206" s="33">
        <v>10.08</v>
      </c>
      <c r="H206" s="33">
        <f>E206-F206-G206</f>
        <v>48.46134</v>
      </c>
      <c r="I206" s="37">
        <v>4777.56</v>
      </c>
      <c r="J206" s="33">
        <f>H206</f>
        <v>48.46134</v>
      </c>
      <c r="K206" s="37">
        <f>I206</f>
        <v>4777.56</v>
      </c>
      <c r="L206" s="55">
        <f>J206/K206</f>
        <v>0.01014353351920227</v>
      </c>
      <c r="M206" s="29">
        <v>279.5</v>
      </c>
      <c r="N206" s="57">
        <f>L206*M206</f>
        <v>2.8351176186170344</v>
      </c>
      <c r="O206" s="57">
        <f>L206*60*1000</f>
        <v>608.6120111521361</v>
      </c>
      <c r="P206" s="56">
        <f>O206*M206/1000</f>
        <v>170.10705711702204</v>
      </c>
      <c r="Q206" s="11"/>
      <c r="R206" s="10"/>
      <c r="S206" s="10"/>
    </row>
    <row r="207" spans="1:16" s="9" customFormat="1" ht="13.5" customHeight="1">
      <c r="A207" s="271"/>
      <c r="B207" s="43" t="s">
        <v>721</v>
      </c>
      <c r="C207" s="24">
        <v>41</v>
      </c>
      <c r="D207" s="24" t="s">
        <v>24</v>
      </c>
      <c r="E207" s="74">
        <f>F207+G207+H207</f>
        <v>36.3721</v>
      </c>
      <c r="F207" s="74">
        <v>6.1655</v>
      </c>
      <c r="G207" s="74">
        <v>6.56</v>
      </c>
      <c r="H207" s="74">
        <v>23.6466</v>
      </c>
      <c r="I207" s="32">
        <v>2326.63</v>
      </c>
      <c r="J207" s="74">
        <v>23.6466</v>
      </c>
      <c r="K207" s="32">
        <v>2326.63</v>
      </c>
      <c r="L207" s="44">
        <f>J207/K207</f>
        <v>0.010163455298006129</v>
      </c>
      <c r="M207" s="26">
        <v>210</v>
      </c>
      <c r="N207" s="26">
        <f>L207*M207</f>
        <v>2.134325612581287</v>
      </c>
      <c r="O207" s="26">
        <f>L207*1000*60</f>
        <v>609.8073178803677</v>
      </c>
      <c r="P207" s="45">
        <f>N207*60</f>
        <v>128.05953675487723</v>
      </c>
    </row>
    <row r="208" spans="1:19" s="9" customFormat="1" ht="12.75" customHeight="1">
      <c r="A208" s="271"/>
      <c r="B208" s="54" t="s">
        <v>202</v>
      </c>
      <c r="C208" s="27">
        <v>103</v>
      </c>
      <c r="D208" s="27">
        <v>1965</v>
      </c>
      <c r="E208" s="33">
        <v>72.367001</v>
      </c>
      <c r="F208" s="33">
        <v>11.22</v>
      </c>
      <c r="G208" s="33">
        <v>15.905591</v>
      </c>
      <c r="H208" s="33">
        <v>45.24141</v>
      </c>
      <c r="I208" s="37">
        <v>4447.51</v>
      </c>
      <c r="J208" s="33">
        <v>45.24141</v>
      </c>
      <c r="K208" s="37">
        <v>4447.51</v>
      </c>
      <c r="L208" s="55">
        <v>0.010172</v>
      </c>
      <c r="M208" s="29">
        <v>277.1</v>
      </c>
      <c r="N208" s="57">
        <f>L208*M208*1.09</f>
        <v>3.0723407080000005</v>
      </c>
      <c r="O208" s="57">
        <f>L208*60*1000</f>
        <v>610.3199999999999</v>
      </c>
      <c r="P208" s="56">
        <f>M208*O208/1000</f>
        <v>169.11967199999998</v>
      </c>
      <c r="Q208" s="11"/>
      <c r="R208" s="10"/>
      <c r="S208" s="10"/>
    </row>
    <row r="209" spans="1:19" s="9" customFormat="1" ht="12.75">
      <c r="A209" s="271"/>
      <c r="B209" s="54" t="s">
        <v>355</v>
      </c>
      <c r="C209" s="27">
        <v>11</v>
      </c>
      <c r="D209" s="27" t="s">
        <v>24</v>
      </c>
      <c r="E209" s="33">
        <v>5.75</v>
      </c>
      <c r="F209" s="33">
        <v>0.46</v>
      </c>
      <c r="G209" s="33">
        <v>0.07</v>
      </c>
      <c r="H209" s="33">
        <v>5.22</v>
      </c>
      <c r="I209" s="37">
        <v>512</v>
      </c>
      <c r="J209" s="33">
        <v>5.22</v>
      </c>
      <c r="K209" s="37">
        <v>512</v>
      </c>
      <c r="L209" s="55">
        <f>J209/K209</f>
        <v>0.0101953125</v>
      </c>
      <c r="M209" s="29">
        <v>234.2</v>
      </c>
      <c r="N209" s="57">
        <f>L209*M209</f>
        <v>2.3877421875</v>
      </c>
      <c r="O209" s="57">
        <f>L209*60*1000</f>
        <v>611.71875</v>
      </c>
      <c r="P209" s="56">
        <f>O209*M209/1000</f>
        <v>143.26453125</v>
      </c>
      <c r="Q209" s="11"/>
      <c r="R209" s="10"/>
      <c r="S209" s="10"/>
    </row>
    <row r="210" spans="1:19" s="9" customFormat="1" ht="12.75">
      <c r="A210" s="271"/>
      <c r="B210" s="43" t="s">
        <v>722</v>
      </c>
      <c r="C210" s="24">
        <v>55</v>
      </c>
      <c r="D210" s="24" t="s">
        <v>24</v>
      </c>
      <c r="E210" s="74">
        <f>F210+G210+H210</f>
        <v>40.439099999999996</v>
      </c>
      <c r="F210" s="117">
        <v>5.6723</v>
      </c>
      <c r="G210" s="74">
        <v>8.8</v>
      </c>
      <c r="H210" s="74">
        <v>25.9668</v>
      </c>
      <c r="I210" s="32">
        <v>2545.12</v>
      </c>
      <c r="J210" s="74">
        <v>25.9668</v>
      </c>
      <c r="K210" s="32">
        <v>2545.12</v>
      </c>
      <c r="L210" s="44">
        <f>J210/K210</f>
        <v>0.010202583768152387</v>
      </c>
      <c r="M210" s="26">
        <v>210</v>
      </c>
      <c r="N210" s="26">
        <f>L210*M210</f>
        <v>2.1425425913120013</v>
      </c>
      <c r="O210" s="26">
        <f>L210*1000*60</f>
        <v>612.1550260891432</v>
      </c>
      <c r="P210" s="45">
        <f>N210*60</f>
        <v>128.55255547872008</v>
      </c>
      <c r="R210" s="10"/>
      <c r="S210" s="10"/>
    </row>
    <row r="211" spans="1:19" s="9" customFormat="1" ht="12.75">
      <c r="A211" s="271"/>
      <c r="B211" s="43" t="s">
        <v>461</v>
      </c>
      <c r="C211" s="24">
        <v>60</v>
      </c>
      <c r="D211" s="24" t="s">
        <v>24</v>
      </c>
      <c r="E211" s="74">
        <f>F211+G211+H211</f>
        <v>48.824</v>
      </c>
      <c r="F211" s="117">
        <v>7.2338</v>
      </c>
      <c r="G211" s="74">
        <v>9.6</v>
      </c>
      <c r="H211" s="74">
        <v>31.9902</v>
      </c>
      <c r="I211" s="32">
        <v>3130.63</v>
      </c>
      <c r="J211" s="74">
        <v>31.9902</v>
      </c>
      <c r="K211" s="32">
        <v>3130.63</v>
      </c>
      <c r="L211" s="44">
        <f>J211/K211</f>
        <v>0.010218454432494419</v>
      </c>
      <c r="M211" s="26">
        <v>210</v>
      </c>
      <c r="N211" s="26">
        <f>L211*M211</f>
        <v>2.145875430823828</v>
      </c>
      <c r="O211" s="26">
        <f>L211*1000*60</f>
        <v>613.1072659496651</v>
      </c>
      <c r="P211" s="45">
        <f>N211*60</f>
        <v>128.75252584942967</v>
      </c>
      <c r="R211" s="10"/>
      <c r="S211" s="10"/>
    </row>
    <row r="212" spans="1:19" s="9" customFormat="1" ht="12.75">
      <c r="A212" s="271"/>
      <c r="B212" s="54" t="s">
        <v>299</v>
      </c>
      <c r="C212" s="27">
        <v>55</v>
      </c>
      <c r="D212" s="27">
        <v>1995</v>
      </c>
      <c r="E212" s="33">
        <v>49.669001</v>
      </c>
      <c r="F212" s="33">
        <v>6.987</v>
      </c>
      <c r="G212" s="33">
        <v>8.72</v>
      </c>
      <c r="H212" s="33">
        <v>33.962001</v>
      </c>
      <c r="I212" s="37">
        <v>3308.16</v>
      </c>
      <c r="J212" s="33">
        <v>33.962001</v>
      </c>
      <c r="K212" s="37">
        <v>3308.16</v>
      </c>
      <c r="L212" s="55">
        <v>0.010266</v>
      </c>
      <c r="M212" s="29">
        <v>277.1</v>
      </c>
      <c r="N212" s="57">
        <f>L212*M212*1.09</f>
        <v>3.100732374000001</v>
      </c>
      <c r="O212" s="57">
        <f>L212*60*1000</f>
        <v>615.96</v>
      </c>
      <c r="P212" s="56">
        <f>M212*O212/1000</f>
        <v>170.68251600000002</v>
      </c>
      <c r="R212" s="10"/>
      <c r="S212" s="10"/>
    </row>
    <row r="213" spans="1:19" s="9" customFormat="1" ht="12.75">
      <c r="A213" s="271"/>
      <c r="B213" s="43" t="s">
        <v>462</v>
      </c>
      <c r="C213" s="24">
        <v>100</v>
      </c>
      <c r="D213" s="24" t="s">
        <v>24</v>
      </c>
      <c r="E213" s="74">
        <f>F213+G213+H213</f>
        <v>62.4133</v>
      </c>
      <c r="F213" s="74">
        <v>8.2506</v>
      </c>
      <c r="G213" s="74">
        <v>16</v>
      </c>
      <c r="H213" s="74">
        <v>38.1627</v>
      </c>
      <c r="I213" s="32">
        <v>3684.18</v>
      </c>
      <c r="J213" s="74">
        <v>38.1627</v>
      </c>
      <c r="K213" s="32">
        <v>3684.18</v>
      </c>
      <c r="L213" s="44">
        <f>J213/K213</f>
        <v>0.010358532970701759</v>
      </c>
      <c r="M213" s="26">
        <v>210</v>
      </c>
      <c r="N213" s="26">
        <f>L213*M213</f>
        <v>2.1752919238473694</v>
      </c>
      <c r="O213" s="26">
        <f>L213*1000*60</f>
        <v>621.5119782421056</v>
      </c>
      <c r="P213" s="45">
        <f>N213*60</f>
        <v>130.51751543084217</v>
      </c>
      <c r="R213" s="10"/>
      <c r="S213" s="10"/>
    </row>
    <row r="214" spans="1:19" s="9" customFormat="1" ht="12.75" customHeight="1">
      <c r="A214" s="271"/>
      <c r="B214" s="54" t="s">
        <v>639</v>
      </c>
      <c r="C214" s="27">
        <v>40</v>
      </c>
      <c r="D214" s="27">
        <v>1988</v>
      </c>
      <c r="E214" s="33">
        <v>34.549076</v>
      </c>
      <c r="F214" s="33">
        <v>4.174452</v>
      </c>
      <c r="G214" s="33">
        <v>6.4</v>
      </c>
      <c r="H214" s="33">
        <v>23.974624</v>
      </c>
      <c r="I214" s="37">
        <v>2312.44</v>
      </c>
      <c r="J214" s="33">
        <v>23.210423</v>
      </c>
      <c r="K214" s="37">
        <v>2238.73</v>
      </c>
      <c r="L214" s="55">
        <v>0.010367</v>
      </c>
      <c r="M214" s="29">
        <v>277.1</v>
      </c>
      <c r="N214" s="57">
        <f>L214*M214*1.09</f>
        <v>3.1312383130000003</v>
      </c>
      <c r="O214" s="57">
        <f>L214*60*1000</f>
        <v>622.02</v>
      </c>
      <c r="P214" s="56">
        <f>M214*O214/1000</f>
        <v>172.361742</v>
      </c>
      <c r="R214" s="10"/>
      <c r="S214" s="10"/>
    </row>
    <row r="215" spans="1:19" s="9" customFormat="1" ht="12.75">
      <c r="A215" s="271"/>
      <c r="B215" s="54" t="s">
        <v>107</v>
      </c>
      <c r="C215" s="27">
        <v>38</v>
      </c>
      <c r="D215" s="27">
        <v>1982</v>
      </c>
      <c r="E215" s="33">
        <v>33.645</v>
      </c>
      <c r="F215" s="33">
        <v>3.362</v>
      </c>
      <c r="G215" s="33">
        <v>6.4</v>
      </c>
      <c r="H215" s="33">
        <v>23.8831</v>
      </c>
      <c r="I215" s="37">
        <v>2278.82</v>
      </c>
      <c r="J215" s="33">
        <v>22.44</v>
      </c>
      <c r="K215" s="37">
        <v>2160.52</v>
      </c>
      <c r="L215" s="55">
        <f>J215/K215</f>
        <v>0.010386388462036917</v>
      </c>
      <c r="M215" s="29">
        <v>338.118</v>
      </c>
      <c r="N215" s="57">
        <f>L215*M215</f>
        <v>3.5118248940069985</v>
      </c>
      <c r="O215" s="57">
        <f>L215*60*1000</f>
        <v>623.1833077222151</v>
      </c>
      <c r="P215" s="56">
        <f>O215*M215/1000</f>
        <v>210.7094936404199</v>
      </c>
      <c r="R215" s="10"/>
      <c r="S215" s="10"/>
    </row>
    <row r="216" spans="1:19" s="9" customFormat="1" ht="12.75" customHeight="1">
      <c r="A216" s="271"/>
      <c r="B216" s="54" t="s">
        <v>238</v>
      </c>
      <c r="C216" s="27">
        <v>100</v>
      </c>
      <c r="D216" s="27">
        <v>1966</v>
      </c>
      <c r="E216" s="33">
        <v>72.338999</v>
      </c>
      <c r="F216" s="33">
        <v>9.9195</v>
      </c>
      <c r="G216" s="33">
        <v>15.84</v>
      </c>
      <c r="H216" s="33">
        <v>46.579499</v>
      </c>
      <c r="I216" s="37">
        <v>4481.51</v>
      </c>
      <c r="J216" s="33">
        <v>46.579499</v>
      </c>
      <c r="K216" s="37">
        <v>4481.51</v>
      </c>
      <c r="L216" s="55">
        <v>0.010393</v>
      </c>
      <c r="M216" s="29">
        <v>277.1</v>
      </c>
      <c r="N216" s="57">
        <f>L216*M216*1.09</f>
        <v>3.1390913270000005</v>
      </c>
      <c r="O216" s="57">
        <f>L216*60*1000</f>
        <v>623.58</v>
      </c>
      <c r="P216" s="56">
        <f>M216*O216/1000</f>
        <v>172.79401800000005</v>
      </c>
      <c r="Q216" s="11"/>
      <c r="R216" s="10"/>
      <c r="S216" s="10"/>
    </row>
    <row r="217" spans="1:19" s="9" customFormat="1" ht="12.75">
      <c r="A217" s="271"/>
      <c r="B217" s="54" t="s">
        <v>301</v>
      </c>
      <c r="C217" s="27">
        <v>80</v>
      </c>
      <c r="D217" s="27">
        <v>1964</v>
      </c>
      <c r="E217" s="33">
        <v>60.916</v>
      </c>
      <c r="F217" s="33">
        <v>8.2875</v>
      </c>
      <c r="G217" s="33">
        <v>12.72</v>
      </c>
      <c r="H217" s="33">
        <v>39.9085</v>
      </c>
      <c r="I217" s="37">
        <v>3830.86</v>
      </c>
      <c r="J217" s="33">
        <v>39.9085</v>
      </c>
      <c r="K217" s="37">
        <v>3830.86</v>
      </c>
      <c r="L217" s="55">
        <v>0.010417</v>
      </c>
      <c r="M217" s="29">
        <v>277.1</v>
      </c>
      <c r="N217" s="57">
        <f>L217*M217*1.09</f>
        <v>3.146340263</v>
      </c>
      <c r="O217" s="57">
        <f>L217*60*1000</f>
        <v>625.0199999999999</v>
      </c>
      <c r="P217" s="56">
        <f>M217*O217/1000</f>
        <v>173.193042</v>
      </c>
      <c r="R217" s="10"/>
      <c r="S217" s="10"/>
    </row>
    <row r="218" spans="1:19" s="9" customFormat="1" ht="12.75">
      <c r="A218" s="271"/>
      <c r="B218" s="54" t="s">
        <v>106</v>
      </c>
      <c r="C218" s="27">
        <v>50</v>
      </c>
      <c r="D218" s="27">
        <v>1974</v>
      </c>
      <c r="E218" s="33">
        <v>38.432</v>
      </c>
      <c r="F218" s="33">
        <v>3.213</v>
      </c>
      <c r="G218" s="33">
        <v>8</v>
      </c>
      <c r="H218" s="33">
        <v>27.219</v>
      </c>
      <c r="I218" s="37">
        <v>2591.85</v>
      </c>
      <c r="J218" s="33">
        <v>27.219</v>
      </c>
      <c r="K218" s="37">
        <v>2591.85</v>
      </c>
      <c r="L218" s="55">
        <f>J218/K218</f>
        <v>0.010501765148446092</v>
      </c>
      <c r="M218" s="29">
        <v>338.118</v>
      </c>
      <c r="N218" s="57">
        <f>L218*M218</f>
        <v>3.550835828462296</v>
      </c>
      <c r="O218" s="57">
        <f>L218*60*1000</f>
        <v>630.1059089067655</v>
      </c>
      <c r="P218" s="56">
        <f>O218*M218/1000</f>
        <v>213.05014970773775</v>
      </c>
      <c r="Q218" s="11"/>
      <c r="R218" s="10"/>
      <c r="S218" s="10"/>
    </row>
    <row r="219" spans="1:19" s="9" customFormat="1" ht="12.75">
      <c r="A219" s="271"/>
      <c r="B219" s="54" t="s">
        <v>640</v>
      </c>
      <c r="C219" s="27">
        <v>60</v>
      </c>
      <c r="D219" s="27">
        <v>1988</v>
      </c>
      <c r="E219" s="33">
        <v>41.158496</v>
      </c>
      <c r="F219" s="33">
        <v>6.732</v>
      </c>
      <c r="G219" s="33">
        <v>9.6</v>
      </c>
      <c r="H219" s="33">
        <v>24.826496</v>
      </c>
      <c r="I219" s="37">
        <v>2363.76</v>
      </c>
      <c r="J219" s="33">
        <v>24.826496</v>
      </c>
      <c r="K219" s="37">
        <v>2363.76</v>
      </c>
      <c r="L219" s="55">
        <v>0.010502</v>
      </c>
      <c r="M219" s="29">
        <v>277.1</v>
      </c>
      <c r="N219" s="57">
        <f>L219*M219*1.09</f>
        <v>3.1720135780000005</v>
      </c>
      <c r="O219" s="57">
        <f>L219*60*1000</f>
        <v>630.1199999999999</v>
      </c>
      <c r="P219" s="56">
        <f>M219*O219/1000</f>
        <v>174.60625199999998</v>
      </c>
      <c r="R219" s="10"/>
      <c r="S219" s="10"/>
    </row>
    <row r="220" spans="1:19" s="9" customFormat="1" ht="12.75">
      <c r="A220" s="271"/>
      <c r="B220" s="54" t="s">
        <v>816</v>
      </c>
      <c r="C220" s="27">
        <v>65</v>
      </c>
      <c r="D220" s="27" t="s">
        <v>24</v>
      </c>
      <c r="E220" s="33">
        <v>39</v>
      </c>
      <c r="F220" s="33">
        <f>84.75*0.051</f>
        <v>4.3222499999999995</v>
      </c>
      <c r="G220" s="33">
        <v>10.1</v>
      </c>
      <c r="H220" s="33">
        <f>+E220-F220-G220</f>
        <v>24.57775</v>
      </c>
      <c r="I220" s="230"/>
      <c r="J220" s="33">
        <f>+H220</f>
        <v>24.57775</v>
      </c>
      <c r="K220" s="37">
        <v>2338.13</v>
      </c>
      <c r="L220" s="55">
        <f>J220/K220</f>
        <v>0.010511712351323494</v>
      </c>
      <c r="M220" s="29">
        <v>343.2</v>
      </c>
      <c r="N220" s="57">
        <f>L220*M220</f>
        <v>3.607619678974223</v>
      </c>
      <c r="O220" s="57">
        <f>L220*60*1000</f>
        <v>630.7027410794096</v>
      </c>
      <c r="P220" s="56">
        <f>O220*M220/1000</f>
        <v>216.4571807384534</v>
      </c>
      <c r="R220" s="10"/>
      <c r="S220" s="10"/>
    </row>
    <row r="221" spans="1:19" s="9" customFormat="1" ht="12.75">
      <c r="A221" s="271"/>
      <c r="B221" s="43" t="s">
        <v>723</v>
      </c>
      <c r="C221" s="24">
        <v>30</v>
      </c>
      <c r="D221" s="24" t="s">
        <v>24</v>
      </c>
      <c r="E221" s="74">
        <f>F221+G221+H221</f>
        <v>24.726100000000002</v>
      </c>
      <c r="F221" s="74">
        <v>4.3887</v>
      </c>
      <c r="G221" s="74">
        <v>4.64</v>
      </c>
      <c r="H221" s="74">
        <v>15.6974</v>
      </c>
      <c r="I221" s="32">
        <v>1490.4</v>
      </c>
      <c r="J221" s="74">
        <v>15.6974</v>
      </c>
      <c r="K221" s="32">
        <v>1490.4</v>
      </c>
      <c r="L221" s="44">
        <f>J221/K221</f>
        <v>0.010532340311325819</v>
      </c>
      <c r="M221" s="26">
        <v>210</v>
      </c>
      <c r="N221" s="26">
        <f>L221*M221</f>
        <v>2.211791465378422</v>
      </c>
      <c r="O221" s="26">
        <f>L221*1000*60</f>
        <v>631.9404186795491</v>
      </c>
      <c r="P221" s="45">
        <f>N221*60</f>
        <v>132.7074879227053</v>
      </c>
      <c r="R221" s="39"/>
      <c r="S221" s="10"/>
    </row>
    <row r="222" spans="1:19" s="9" customFormat="1" ht="12.75" customHeight="1">
      <c r="A222" s="271"/>
      <c r="B222" s="54" t="s">
        <v>764</v>
      </c>
      <c r="C222" s="27">
        <v>48</v>
      </c>
      <c r="D222" s="27" t="s">
        <v>249</v>
      </c>
      <c r="E222" s="33">
        <v>38.3</v>
      </c>
      <c r="F222" s="33">
        <v>3.601</v>
      </c>
      <c r="G222" s="33">
        <v>7.36</v>
      </c>
      <c r="H222" s="33">
        <v>27.304</v>
      </c>
      <c r="I222" s="37">
        <v>2591.49</v>
      </c>
      <c r="J222" s="33">
        <v>27.3</v>
      </c>
      <c r="K222" s="37">
        <v>2591.5</v>
      </c>
      <c r="L222" s="55">
        <f>J222/K222</f>
        <v>0.0105344395137951</v>
      </c>
      <c r="M222" s="29">
        <v>224.1</v>
      </c>
      <c r="N222" s="57">
        <f>L222*M222</f>
        <v>2.360767895041482</v>
      </c>
      <c r="O222" s="57">
        <f>L222*60*1000</f>
        <v>632.066370827706</v>
      </c>
      <c r="P222" s="56">
        <f>O222*M222/1000</f>
        <v>141.6460737024889</v>
      </c>
      <c r="R222" s="10"/>
      <c r="S222" s="10"/>
    </row>
    <row r="223" spans="1:19" s="9" customFormat="1" ht="12.75">
      <c r="A223" s="271"/>
      <c r="B223" s="295" t="s">
        <v>1015</v>
      </c>
      <c r="C223" s="296">
        <v>75</v>
      </c>
      <c r="D223" s="297" t="s">
        <v>24</v>
      </c>
      <c r="E223" s="298">
        <v>61.27</v>
      </c>
      <c r="F223" s="298">
        <v>7.58</v>
      </c>
      <c r="G223" s="299">
        <v>12</v>
      </c>
      <c r="H223" s="298">
        <v>41.69</v>
      </c>
      <c r="I223" s="300">
        <v>3954.15</v>
      </c>
      <c r="J223" s="298">
        <v>41.69</v>
      </c>
      <c r="K223" s="300">
        <v>3954.15</v>
      </c>
      <c r="L223" s="55">
        <f>J223/K223</f>
        <v>0.0105433531858933</v>
      </c>
      <c r="M223" s="29">
        <v>269.2</v>
      </c>
      <c r="N223" s="57">
        <f>L223*M223</f>
        <v>2.8382706776424764</v>
      </c>
      <c r="O223" s="57">
        <f>L223*60*1000</f>
        <v>632.601191153598</v>
      </c>
      <c r="P223" s="56">
        <f>O223*M223/1000</f>
        <v>170.2962406585486</v>
      </c>
      <c r="R223" s="10"/>
      <c r="S223" s="10"/>
    </row>
    <row r="224" spans="1:19" s="9" customFormat="1" ht="12.75" customHeight="1">
      <c r="A224" s="271"/>
      <c r="B224" s="199" t="s">
        <v>134</v>
      </c>
      <c r="C224" s="269">
        <v>59</v>
      </c>
      <c r="D224" s="200">
        <v>1974</v>
      </c>
      <c r="E224" s="201">
        <v>44.463998000000004</v>
      </c>
      <c r="F224" s="202">
        <v>5.7885</v>
      </c>
      <c r="G224" s="202">
        <v>9.6</v>
      </c>
      <c r="H224" s="202">
        <v>29.075498</v>
      </c>
      <c r="I224" s="203">
        <v>2729.69</v>
      </c>
      <c r="J224" s="202">
        <v>29.075498</v>
      </c>
      <c r="K224" s="203">
        <v>2729.69</v>
      </c>
      <c r="L224" s="204">
        <v>0.010651575087280972</v>
      </c>
      <c r="M224" s="205">
        <v>314.574</v>
      </c>
      <c r="N224" s="206">
        <v>3.350708581506325</v>
      </c>
      <c r="O224" s="206">
        <v>639.0945052368583</v>
      </c>
      <c r="P224" s="207">
        <v>201.04251489037944</v>
      </c>
      <c r="R224" s="10"/>
      <c r="S224" s="10"/>
    </row>
    <row r="225" spans="1:19" s="9" customFormat="1" ht="12.75">
      <c r="A225" s="271"/>
      <c r="B225" s="54" t="s">
        <v>300</v>
      </c>
      <c r="C225" s="27">
        <v>51</v>
      </c>
      <c r="D225" s="27">
        <v>1976</v>
      </c>
      <c r="E225" s="33">
        <v>47.698003</v>
      </c>
      <c r="F225" s="33">
        <v>6.8085</v>
      </c>
      <c r="G225" s="33">
        <v>8.16</v>
      </c>
      <c r="H225" s="33">
        <v>32.729503</v>
      </c>
      <c r="I225" s="37">
        <v>3060.87</v>
      </c>
      <c r="J225" s="33">
        <v>32.729503</v>
      </c>
      <c r="K225" s="37">
        <v>3060.87</v>
      </c>
      <c r="L225" s="55">
        <v>0.010692</v>
      </c>
      <c r="M225" s="29">
        <v>277.1</v>
      </c>
      <c r="N225" s="57">
        <f>L225*M225*1.09</f>
        <v>3.2294009880000005</v>
      </c>
      <c r="O225" s="57">
        <f>L225*60*1000</f>
        <v>641.52</v>
      </c>
      <c r="P225" s="56">
        <f>M225*O225/1000</f>
        <v>177.765192</v>
      </c>
      <c r="R225" s="10"/>
      <c r="S225" s="10"/>
    </row>
    <row r="226" spans="1:19" s="9" customFormat="1" ht="12.75">
      <c r="A226" s="271"/>
      <c r="B226" s="43" t="s">
        <v>28</v>
      </c>
      <c r="C226" s="24">
        <v>40</v>
      </c>
      <c r="D226" s="24">
        <v>1996</v>
      </c>
      <c r="E226" s="74">
        <v>43.654</v>
      </c>
      <c r="F226" s="74">
        <v>5.85837</v>
      </c>
      <c r="G226" s="74">
        <v>7.19516</v>
      </c>
      <c r="H226" s="74">
        <v>30.60047</v>
      </c>
      <c r="I226" s="32">
        <v>2861.83</v>
      </c>
      <c r="J226" s="74">
        <v>30.600468</v>
      </c>
      <c r="K226" s="32">
        <v>2861.83</v>
      </c>
      <c r="L226" s="44">
        <f>J226/K226</f>
        <v>0.010692622552702293</v>
      </c>
      <c r="M226" s="24">
        <v>298.66</v>
      </c>
      <c r="N226" s="26">
        <f>L226*M226</f>
        <v>3.193458651590067</v>
      </c>
      <c r="O226" s="26">
        <f>L226*60*1000</f>
        <v>641.5573531621376</v>
      </c>
      <c r="P226" s="45">
        <f>O226*M226/1000</f>
        <v>191.60751909540403</v>
      </c>
      <c r="R226" s="10"/>
      <c r="S226" s="10"/>
    </row>
    <row r="227" spans="1:19" s="9" customFormat="1" ht="12.75">
      <c r="A227" s="271"/>
      <c r="B227" s="54" t="s">
        <v>448</v>
      </c>
      <c r="C227" s="27">
        <v>50</v>
      </c>
      <c r="D227" s="27">
        <v>1972</v>
      </c>
      <c r="E227" s="33">
        <v>30.355</v>
      </c>
      <c r="F227" s="33">
        <v>7.23945</v>
      </c>
      <c r="G227" s="33">
        <v>0.5</v>
      </c>
      <c r="H227" s="33">
        <v>22.61555</v>
      </c>
      <c r="I227" s="37">
        <v>2114.27</v>
      </c>
      <c r="J227" s="33">
        <v>22.62</v>
      </c>
      <c r="K227" s="37">
        <v>2114.27</v>
      </c>
      <c r="L227" s="55">
        <f>J227/K227</f>
        <v>0.010698728166222858</v>
      </c>
      <c r="M227" s="29">
        <v>328.526</v>
      </c>
      <c r="N227" s="57">
        <f>L227*M227</f>
        <v>3.5148103695365305</v>
      </c>
      <c r="O227" s="57">
        <f>L227*60*1000</f>
        <v>641.9236899733714</v>
      </c>
      <c r="P227" s="56">
        <f>O227*M227/1000</f>
        <v>210.88862217219182</v>
      </c>
      <c r="R227" s="10"/>
      <c r="S227" s="10"/>
    </row>
    <row r="228" spans="1:23" s="9" customFormat="1" ht="12.75">
      <c r="A228" s="271"/>
      <c r="B228" s="43" t="s">
        <v>360</v>
      </c>
      <c r="C228" s="24">
        <v>30</v>
      </c>
      <c r="D228" s="24">
        <v>1993</v>
      </c>
      <c r="E228" s="74">
        <f>F228+G228+H228</f>
        <v>26.479999999999997</v>
      </c>
      <c r="F228" s="74">
        <v>3.1949</v>
      </c>
      <c r="G228" s="74">
        <v>4.8</v>
      </c>
      <c r="H228" s="74">
        <v>18.4851</v>
      </c>
      <c r="I228" s="32">
        <v>1726.08</v>
      </c>
      <c r="J228" s="74">
        <v>18.4851</v>
      </c>
      <c r="K228" s="32">
        <v>1726.08</v>
      </c>
      <c r="L228" s="44">
        <f>J228/K228</f>
        <v>0.010709295050055617</v>
      </c>
      <c r="M228" s="26">
        <v>210</v>
      </c>
      <c r="N228" s="26">
        <f>L228*M228</f>
        <v>2.2489519605116794</v>
      </c>
      <c r="O228" s="26">
        <f>L228*1000*60</f>
        <v>642.5577030033369</v>
      </c>
      <c r="P228" s="45">
        <f>N228*60</f>
        <v>134.93711763070075</v>
      </c>
      <c r="Q228" s="10"/>
      <c r="R228" s="10"/>
      <c r="S228" s="10"/>
      <c r="T228" s="12"/>
      <c r="U228" s="15"/>
      <c r="V228" s="15"/>
      <c r="W228" s="16"/>
    </row>
    <row r="229" spans="1:19" s="9" customFormat="1" ht="12.75">
      <c r="A229" s="271"/>
      <c r="B229" s="54" t="s">
        <v>356</v>
      </c>
      <c r="C229" s="27">
        <v>28</v>
      </c>
      <c r="D229" s="27" t="s">
        <v>24</v>
      </c>
      <c r="E229" s="33">
        <v>20.31</v>
      </c>
      <c r="F229" s="33">
        <v>2.24</v>
      </c>
      <c r="G229" s="33">
        <v>3.61</v>
      </c>
      <c r="H229" s="33">
        <v>14.46</v>
      </c>
      <c r="I229" s="37">
        <v>1350</v>
      </c>
      <c r="J229" s="33">
        <v>14.46</v>
      </c>
      <c r="K229" s="37">
        <v>1350</v>
      </c>
      <c r="L229" s="55">
        <f>J229/K229</f>
        <v>0.010711111111111112</v>
      </c>
      <c r="M229" s="29">
        <v>234.2</v>
      </c>
      <c r="N229" s="57">
        <f>L229*M229</f>
        <v>2.5085422222222222</v>
      </c>
      <c r="O229" s="57">
        <f>L229*60*1000</f>
        <v>642.6666666666667</v>
      </c>
      <c r="P229" s="56">
        <f>O229*M229/1000</f>
        <v>150.51253333333335</v>
      </c>
      <c r="R229" s="10"/>
      <c r="S229" s="10"/>
    </row>
    <row r="230" spans="1:19" s="9" customFormat="1" ht="12.75">
      <c r="A230" s="271"/>
      <c r="B230" s="54" t="s">
        <v>891</v>
      </c>
      <c r="C230" s="27">
        <v>60</v>
      </c>
      <c r="D230" s="27" t="s">
        <v>892</v>
      </c>
      <c r="E230" s="33">
        <v>41.99</v>
      </c>
      <c r="F230" s="33">
        <v>5.104</v>
      </c>
      <c r="G230" s="33">
        <v>9.6</v>
      </c>
      <c r="H230" s="33">
        <v>27.286</v>
      </c>
      <c r="I230" s="257"/>
      <c r="J230" s="33">
        <v>27.286</v>
      </c>
      <c r="K230" s="37">
        <v>2539.48</v>
      </c>
      <c r="L230" s="55">
        <f>J230/K230</f>
        <v>0.010744719391371463</v>
      </c>
      <c r="M230" s="29">
        <v>276.97</v>
      </c>
      <c r="N230" s="57">
        <f>L230*M230</f>
        <v>2.9759649298281543</v>
      </c>
      <c r="O230" s="57">
        <f>L230*60*1000</f>
        <v>644.6831634822878</v>
      </c>
      <c r="P230" s="56">
        <f>O230*M230/1000</f>
        <v>178.55789578968927</v>
      </c>
      <c r="R230" s="10"/>
      <c r="S230" s="10"/>
    </row>
    <row r="231" spans="1:19" s="9" customFormat="1" ht="12.75">
      <c r="A231" s="271"/>
      <c r="B231" s="43" t="s">
        <v>724</v>
      </c>
      <c r="C231" s="24">
        <v>40</v>
      </c>
      <c r="D231" s="24">
        <v>1992</v>
      </c>
      <c r="E231" s="74">
        <f>F231+G231+H231</f>
        <v>35.7659</v>
      </c>
      <c r="F231" s="74">
        <v>5.3528</v>
      </c>
      <c r="G231" s="74">
        <v>6.4</v>
      </c>
      <c r="H231" s="74">
        <v>24.0131</v>
      </c>
      <c r="I231" s="32">
        <v>2229.96</v>
      </c>
      <c r="J231" s="74">
        <v>24.0131</v>
      </c>
      <c r="K231" s="32">
        <v>2229.96</v>
      </c>
      <c r="L231" s="44">
        <f>J231/K231</f>
        <v>0.01076839943317369</v>
      </c>
      <c r="M231" s="26">
        <v>210</v>
      </c>
      <c r="N231" s="26">
        <f>L231*M231</f>
        <v>2.2613638809664747</v>
      </c>
      <c r="O231" s="26">
        <f>L231*1000*60</f>
        <v>646.1039659904213</v>
      </c>
      <c r="P231" s="45">
        <f>N231*60</f>
        <v>135.68183285798847</v>
      </c>
      <c r="Q231" s="11"/>
      <c r="R231" s="10"/>
      <c r="S231" s="10"/>
    </row>
    <row r="232" spans="1:19" s="9" customFormat="1" ht="11.25" customHeight="1">
      <c r="A232" s="271"/>
      <c r="B232" s="43" t="s">
        <v>463</v>
      </c>
      <c r="C232" s="24">
        <v>30</v>
      </c>
      <c r="D232" s="24" t="s">
        <v>24</v>
      </c>
      <c r="E232" s="74">
        <f>F232+G232+H232</f>
        <v>25.7671</v>
      </c>
      <c r="F232" s="74">
        <v>2.483</v>
      </c>
      <c r="G232" s="74">
        <v>4.8</v>
      </c>
      <c r="H232" s="74">
        <v>18.4841</v>
      </c>
      <c r="I232" s="32">
        <v>1714.66</v>
      </c>
      <c r="J232" s="74">
        <v>18.4841</v>
      </c>
      <c r="K232" s="32">
        <v>1714.66</v>
      </c>
      <c r="L232" s="44">
        <f>J232/K232</f>
        <v>0.010780038025031202</v>
      </c>
      <c r="M232" s="26">
        <v>210</v>
      </c>
      <c r="N232" s="26">
        <f>L232*M232</f>
        <v>2.2638079852565522</v>
      </c>
      <c r="O232" s="26">
        <f>L232*1000*60</f>
        <v>646.8022815018721</v>
      </c>
      <c r="P232" s="45">
        <f>N232*60</f>
        <v>135.82847911539312</v>
      </c>
      <c r="Q232" s="11"/>
      <c r="R232" s="10"/>
      <c r="S232" s="10"/>
    </row>
    <row r="233" spans="1:19" s="9" customFormat="1" ht="12.75" customHeight="1">
      <c r="A233" s="271"/>
      <c r="B233" s="54" t="s">
        <v>528</v>
      </c>
      <c r="C233" s="27">
        <v>50</v>
      </c>
      <c r="D233" s="27">
        <v>1980</v>
      </c>
      <c r="E233" s="33">
        <v>43.6</v>
      </c>
      <c r="F233" s="33">
        <v>7.7</v>
      </c>
      <c r="G233" s="33">
        <v>8</v>
      </c>
      <c r="H233" s="33">
        <v>27.9</v>
      </c>
      <c r="I233" s="37">
        <v>2587</v>
      </c>
      <c r="J233" s="33">
        <v>27.9</v>
      </c>
      <c r="K233" s="37">
        <v>2587</v>
      </c>
      <c r="L233" s="55">
        <f>J233/K233</f>
        <v>0.010784692694240433</v>
      </c>
      <c r="M233" s="29">
        <v>250.6</v>
      </c>
      <c r="N233" s="57">
        <f>L233*M233</f>
        <v>2.7026439891766523</v>
      </c>
      <c r="O233" s="57">
        <f>L233*60*1000</f>
        <v>647.081561654426</v>
      </c>
      <c r="P233" s="56">
        <f>O233*M233/1000</f>
        <v>162.15863935059915</v>
      </c>
      <c r="R233" s="10"/>
      <c r="S233" s="10"/>
    </row>
    <row r="234" spans="1:19" s="9" customFormat="1" ht="12.75" customHeight="1">
      <c r="A234" s="271"/>
      <c r="B234" s="54" t="s">
        <v>677</v>
      </c>
      <c r="C234" s="27">
        <v>50</v>
      </c>
      <c r="D234" s="27">
        <v>1971</v>
      </c>
      <c r="E234" s="33">
        <v>40.456</v>
      </c>
      <c r="F234" s="33">
        <v>4.692</v>
      </c>
      <c r="G234" s="33">
        <v>8</v>
      </c>
      <c r="H234" s="33">
        <v>27.764</v>
      </c>
      <c r="I234" s="37">
        <v>2573.72</v>
      </c>
      <c r="J234" s="33">
        <v>27.76</v>
      </c>
      <c r="K234" s="37">
        <v>2573.72</v>
      </c>
      <c r="L234" s="55">
        <f>J234/K234</f>
        <v>0.010785944080941207</v>
      </c>
      <c r="M234" s="29">
        <v>328.526</v>
      </c>
      <c r="N234" s="57">
        <f>L234*M234</f>
        <v>3.543463065135291</v>
      </c>
      <c r="O234" s="57">
        <f>L234*60*1000</f>
        <v>647.1566448564724</v>
      </c>
      <c r="P234" s="56">
        <f>O234*M234/1000</f>
        <v>212.60778390811748</v>
      </c>
      <c r="R234" s="10"/>
      <c r="S234" s="10"/>
    </row>
    <row r="235" spans="1:22" s="9" customFormat="1" ht="12.75" customHeight="1">
      <c r="A235" s="271"/>
      <c r="B235" s="54" t="s">
        <v>641</v>
      </c>
      <c r="C235" s="27">
        <v>25</v>
      </c>
      <c r="D235" s="27">
        <v>1973</v>
      </c>
      <c r="E235" s="33">
        <v>20.503</v>
      </c>
      <c r="F235" s="33">
        <v>2.397</v>
      </c>
      <c r="G235" s="33">
        <v>4</v>
      </c>
      <c r="H235" s="33">
        <v>14.106</v>
      </c>
      <c r="I235" s="37">
        <v>1305.97</v>
      </c>
      <c r="J235" s="33">
        <v>14.106</v>
      </c>
      <c r="K235" s="37">
        <v>1305.97</v>
      </c>
      <c r="L235" s="55">
        <v>0.010801</v>
      </c>
      <c r="M235" s="29">
        <v>277.1</v>
      </c>
      <c r="N235" s="57">
        <f>L235*M235*1.09</f>
        <v>3.2623232390000005</v>
      </c>
      <c r="O235" s="57">
        <f>L235*60*1000</f>
        <v>648.06</v>
      </c>
      <c r="P235" s="56">
        <f>M235*O235/1000</f>
        <v>179.577426</v>
      </c>
      <c r="Q235" s="10"/>
      <c r="R235" s="10"/>
      <c r="S235" s="10"/>
      <c r="T235" s="12"/>
      <c r="U235" s="13"/>
      <c r="V235" s="13"/>
    </row>
    <row r="236" spans="1:19" s="9" customFormat="1" ht="12.75" customHeight="1">
      <c r="A236" s="271"/>
      <c r="B236" s="54" t="s">
        <v>700</v>
      </c>
      <c r="C236" s="27">
        <v>45</v>
      </c>
      <c r="D236" s="27" t="s">
        <v>24</v>
      </c>
      <c r="E236" s="33">
        <v>43.06</v>
      </c>
      <c r="F236" s="33">
        <v>10.66</v>
      </c>
      <c r="G236" s="33">
        <v>7.2</v>
      </c>
      <c r="H236" s="33">
        <v>25.2</v>
      </c>
      <c r="I236" s="37">
        <v>2327</v>
      </c>
      <c r="J236" s="33">
        <v>25.2</v>
      </c>
      <c r="K236" s="37">
        <v>2327</v>
      </c>
      <c r="L236" s="55">
        <f>J236/K236</f>
        <v>0.010829394069617533</v>
      </c>
      <c r="M236" s="29">
        <v>234.2</v>
      </c>
      <c r="N236" s="57">
        <f>L236*M236</f>
        <v>2.536244091104426</v>
      </c>
      <c r="O236" s="57">
        <f>L236*60*1000</f>
        <v>649.763644177052</v>
      </c>
      <c r="P236" s="56">
        <f>O236*M236/1000</f>
        <v>152.1746454662656</v>
      </c>
      <c r="R236" s="10"/>
      <c r="S236" s="10"/>
    </row>
    <row r="237" spans="1:19" s="9" customFormat="1" ht="12.75" customHeight="1">
      <c r="A237" s="271"/>
      <c r="B237" s="43" t="s">
        <v>725</v>
      </c>
      <c r="C237" s="24">
        <v>30</v>
      </c>
      <c r="D237" s="24" t="s">
        <v>24</v>
      </c>
      <c r="E237" s="74">
        <f>F237+G237+H237</f>
        <v>25.009099999999997</v>
      </c>
      <c r="F237" s="74">
        <v>3.4191</v>
      </c>
      <c r="G237" s="74">
        <v>4.64</v>
      </c>
      <c r="H237" s="74">
        <v>16.95</v>
      </c>
      <c r="I237" s="32">
        <v>1561.03</v>
      </c>
      <c r="J237" s="74">
        <v>16.95</v>
      </c>
      <c r="K237" s="32">
        <v>1561.03</v>
      </c>
      <c r="L237" s="44">
        <f>J237/K237</f>
        <v>0.01085821540905684</v>
      </c>
      <c r="M237" s="26">
        <v>210</v>
      </c>
      <c r="N237" s="26">
        <f>L237*M237</f>
        <v>2.2802252359019364</v>
      </c>
      <c r="O237" s="26">
        <f>L237*1000*60</f>
        <v>651.4929245434104</v>
      </c>
      <c r="P237" s="45">
        <f>N237*60</f>
        <v>136.81351415411618</v>
      </c>
      <c r="R237" s="10"/>
      <c r="S237" s="10"/>
    </row>
    <row r="238" spans="1:19" s="9" customFormat="1" ht="12.75" customHeight="1">
      <c r="A238" s="271"/>
      <c r="B238" s="43" t="s">
        <v>726</v>
      </c>
      <c r="C238" s="24">
        <v>30</v>
      </c>
      <c r="D238" s="24" t="s">
        <v>24</v>
      </c>
      <c r="E238" s="74">
        <f>F238+G238+H238</f>
        <v>27.149</v>
      </c>
      <c r="F238" s="74">
        <v>3.5143</v>
      </c>
      <c r="G238" s="74">
        <v>4.8</v>
      </c>
      <c r="H238" s="74">
        <v>18.8347</v>
      </c>
      <c r="I238" s="32">
        <v>1714.17</v>
      </c>
      <c r="J238" s="74">
        <v>18.8347</v>
      </c>
      <c r="K238" s="32">
        <v>1714.17</v>
      </c>
      <c r="L238" s="44">
        <f>J238/K238</f>
        <v>0.010987649999708315</v>
      </c>
      <c r="M238" s="26">
        <v>210</v>
      </c>
      <c r="N238" s="26">
        <f>L238*M238</f>
        <v>2.3074064999387462</v>
      </c>
      <c r="O238" s="26">
        <f>L238*1000*60</f>
        <v>659.258999982499</v>
      </c>
      <c r="P238" s="45">
        <f>N238*60</f>
        <v>138.4443899963248</v>
      </c>
      <c r="R238" s="10"/>
      <c r="S238" s="10"/>
    </row>
    <row r="239" spans="1:19" s="9" customFormat="1" ht="12.75" customHeight="1">
      <c r="A239" s="271"/>
      <c r="B239" s="54" t="s">
        <v>678</v>
      </c>
      <c r="C239" s="27">
        <v>32</v>
      </c>
      <c r="D239" s="27">
        <v>1966</v>
      </c>
      <c r="E239" s="33">
        <v>31.349</v>
      </c>
      <c r="F239" s="33">
        <v>3.825</v>
      </c>
      <c r="G239" s="33">
        <v>5.12</v>
      </c>
      <c r="H239" s="33">
        <v>22.404</v>
      </c>
      <c r="I239" s="37">
        <v>2036.77</v>
      </c>
      <c r="J239" s="33">
        <v>22.4</v>
      </c>
      <c r="K239" s="37">
        <v>2036.77</v>
      </c>
      <c r="L239" s="55">
        <f>J239/K239</f>
        <v>0.010997805348664798</v>
      </c>
      <c r="M239" s="29">
        <v>328.526</v>
      </c>
      <c r="N239" s="57">
        <f>L239*M239</f>
        <v>3.6130649999754514</v>
      </c>
      <c r="O239" s="57">
        <f>L239*60*1000</f>
        <v>659.8683209198879</v>
      </c>
      <c r="P239" s="56">
        <f>O239*M239/1000</f>
        <v>216.7838999985271</v>
      </c>
      <c r="R239" s="10"/>
      <c r="S239" s="10"/>
    </row>
    <row r="240" spans="1:19" s="9" customFormat="1" ht="13.5" customHeight="1">
      <c r="A240" s="271"/>
      <c r="B240" s="54" t="s">
        <v>349</v>
      </c>
      <c r="C240" s="27">
        <v>50</v>
      </c>
      <c r="D240" s="27">
        <v>1970</v>
      </c>
      <c r="E240" s="33">
        <v>42.12</v>
      </c>
      <c r="F240" s="33">
        <v>4.794</v>
      </c>
      <c r="G240" s="33">
        <v>8</v>
      </c>
      <c r="H240" s="33">
        <v>29.326</v>
      </c>
      <c r="I240" s="37">
        <v>2665.28</v>
      </c>
      <c r="J240" s="33">
        <v>29.33</v>
      </c>
      <c r="K240" s="37">
        <v>2665.28</v>
      </c>
      <c r="L240" s="55">
        <f>J240/K240</f>
        <v>0.011004472325609315</v>
      </c>
      <c r="M240" s="29">
        <v>328.526</v>
      </c>
      <c r="N240" s="57">
        <f>L240*M240</f>
        <v>3.615255275243126</v>
      </c>
      <c r="O240" s="57">
        <f>L240*60*1000</f>
        <v>660.268339536559</v>
      </c>
      <c r="P240" s="56">
        <f>O240*M240/1000</f>
        <v>216.91531651458757</v>
      </c>
      <c r="R240" s="10"/>
      <c r="S240" s="10"/>
    </row>
    <row r="241" spans="1:23" s="9" customFormat="1" ht="13.5" customHeight="1">
      <c r="A241" s="271"/>
      <c r="B241" s="54" t="s">
        <v>277</v>
      </c>
      <c r="C241" s="27">
        <v>50</v>
      </c>
      <c r="D241" s="27">
        <v>1980</v>
      </c>
      <c r="E241" s="33">
        <v>44.651</v>
      </c>
      <c r="F241" s="33">
        <v>3.468</v>
      </c>
      <c r="G241" s="33">
        <v>8</v>
      </c>
      <c r="H241" s="33">
        <v>33.183</v>
      </c>
      <c r="I241" s="37">
        <v>3015.29</v>
      </c>
      <c r="J241" s="33">
        <v>33.183</v>
      </c>
      <c r="K241" s="37">
        <v>3015.29</v>
      </c>
      <c r="L241" s="55">
        <f>J241/K241</f>
        <v>0.011004911633706874</v>
      </c>
      <c r="M241" s="29">
        <v>338.118</v>
      </c>
      <c r="N241" s="57">
        <f>L241*M241</f>
        <v>3.720958711765701</v>
      </c>
      <c r="O241" s="57">
        <f>L241*60*1000</f>
        <v>660.2946980224125</v>
      </c>
      <c r="P241" s="56">
        <f>O241*M241/1000</f>
        <v>223.25752270594208</v>
      </c>
      <c r="Q241" s="10"/>
      <c r="R241" s="10"/>
      <c r="S241" s="10"/>
      <c r="T241" s="12"/>
      <c r="U241" s="13"/>
      <c r="V241" s="13"/>
      <c r="W241" s="14"/>
    </row>
    <row r="242" spans="1:19" s="9" customFormat="1" ht="12.75" customHeight="1">
      <c r="A242" s="271"/>
      <c r="B242" s="54" t="s">
        <v>350</v>
      </c>
      <c r="C242" s="27">
        <v>55</v>
      </c>
      <c r="D242" s="27">
        <v>1968</v>
      </c>
      <c r="E242" s="33">
        <v>41.163</v>
      </c>
      <c r="F242" s="33">
        <v>4.029</v>
      </c>
      <c r="G242" s="33">
        <v>8.8</v>
      </c>
      <c r="H242" s="33">
        <v>28.334</v>
      </c>
      <c r="I242" s="37">
        <v>2555.52</v>
      </c>
      <c r="J242" s="33">
        <v>28.33</v>
      </c>
      <c r="K242" s="37">
        <v>2555.52</v>
      </c>
      <c r="L242" s="55">
        <f>J242/K242</f>
        <v>0.011085806411219633</v>
      </c>
      <c r="M242" s="29">
        <v>328.526</v>
      </c>
      <c r="N242" s="57">
        <f>L242*M242</f>
        <v>3.6419756370523415</v>
      </c>
      <c r="O242" s="57">
        <f>L242*60*1000</f>
        <v>665.1483846731779</v>
      </c>
      <c r="P242" s="56">
        <f>O242*M242/1000</f>
        <v>218.51853822314047</v>
      </c>
      <c r="R242" s="10"/>
      <c r="S242" s="10"/>
    </row>
    <row r="243" spans="1:16" s="9" customFormat="1" ht="12.75" customHeight="1">
      <c r="A243" s="271"/>
      <c r="B243" s="54" t="s">
        <v>569</v>
      </c>
      <c r="C243" s="27">
        <v>51</v>
      </c>
      <c r="D243" s="27">
        <v>1988</v>
      </c>
      <c r="E243" s="33">
        <v>56.06851</v>
      </c>
      <c r="F243" s="33">
        <v>11.6005</v>
      </c>
      <c r="G243" s="33">
        <v>7.14</v>
      </c>
      <c r="H243" s="33">
        <f>E243-F243-G243</f>
        <v>37.328010000000006</v>
      </c>
      <c r="I243" s="37">
        <v>3354.47</v>
      </c>
      <c r="J243" s="33">
        <f>H243</f>
        <v>37.328010000000006</v>
      </c>
      <c r="K243" s="37">
        <f>I243</f>
        <v>3354.47</v>
      </c>
      <c r="L243" s="55">
        <f>J243/K243</f>
        <v>0.011127841357949246</v>
      </c>
      <c r="M243" s="29">
        <v>279.5</v>
      </c>
      <c r="N243" s="57">
        <f>L243*M243</f>
        <v>3.1102316595468142</v>
      </c>
      <c r="O243" s="57">
        <f>L243*60*1000</f>
        <v>667.6704814769547</v>
      </c>
      <c r="P243" s="56">
        <f>O243*M243/1000</f>
        <v>186.61389957280886</v>
      </c>
    </row>
    <row r="244" spans="1:19" s="9" customFormat="1" ht="12.75">
      <c r="A244" s="271"/>
      <c r="B244" s="43" t="s">
        <v>727</v>
      </c>
      <c r="C244" s="24">
        <v>60</v>
      </c>
      <c r="D244" s="24" t="s">
        <v>24</v>
      </c>
      <c r="E244" s="74">
        <f>F244+G244+H244</f>
        <v>48.238299999999995</v>
      </c>
      <c r="F244" s="74">
        <v>5.7732</v>
      </c>
      <c r="G244" s="74">
        <v>9.28</v>
      </c>
      <c r="H244" s="74">
        <v>33.1851</v>
      </c>
      <c r="I244" s="32">
        <v>2977.6</v>
      </c>
      <c r="J244" s="74">
        <v>33.1851</v>
      </c>
      <c r="K244" s="32">
        <v>2977.6</v>
      </c>
      <c r="L244" s="44">
        <f>J244/K244</f>
        <v>0.011144915368081676</v>
      </c>
      <c r="M244" s="26">
        <v>210</v>
      </c>
      <c r="N244" s="26">
        <f>L244*M244</f>
        <v>2.340432227297152</v>
      </c>
      <c r="O244" s="26">
        <f>L244*1000*60</f>
        <v>668.6949220849006</v>
      </c>
      <c r="P244" s="45">
        <f>N244*60</f>
        <v>140.42593363782913</v>
      </c>
      <c r="R244" s="10"/>
      <c r="S244" s="10"/>
    </row>
    <row r="245" spans="1:19" s="9" customFormat="1" ht="12.75">
      <c r="A245" s="271"/>
      <c r="B245" s="43" t="s">
        <v>728</v>
      </c>
      <c r="C245" s="24">
        <v>30</v>
      </c>
      <c r="D245" s="24" t="s">
        <v>24</v>
      </c>
      <c r="E245" s="74">
        <f>F245+G245+H245</f>
        <v>25.340200000000003</v>
      </c>
      <c r="F245" s="74">
        <v>3.1949</v>
      </c>
      <c r="G245" s="74">
        <v>4.8</v>
      </c>
      <c r="H245" s="74">
        <v>17.3453</v>
      </c>
      <c r="I245" s="32">
        <v>1554.22</v>
      </c>
      <c r="J245" s="74">
        <v>17.3453</v>
      </c>
      <c r="K245" s="32">
        <v>1554.22</v>
      </c>
      <c r="L245" s="44">
        <f>J245/K245</f>
        <v>0.011160131770277052</v>
      </c>
      <c r="M245" s="26">
        <v>210</v>
      </c>
      <c r="N245" s="26">
        <f>L245*M245</f>
        <v>2.343627671758181</v>
      </c>
      <c r="O245" s="26">
        <f>L245*1000*60</f>
        <v>669.6079062166232</v>
      </c>
      <c r="P245" s="45">
        <f>N245*60</f>
        <v>140.61766030549086</v>
      </c>
      <c r="R245" s="10"/>
      <c r="S245" s="10"/>
    </row>
    <row r="246" spans="1:19" s="9" customFormat="1" ht="12.75">
      <c r="A246" s="271"/>
      <c r="B246" s="54" t="s">
        <v>679</v>
      </c>
      <c r="C246" s="27">
        <v>61</v>
      </c>
      <c r="D246" s="27">
        <v>1965</v>
      </c>
      <c r="E246" s="33">
        <v>44.91</v>
      </c>
      <c r="F246" s="33">
        <v>4.421904</v>
      </c>
      <c r="G246" s="33">
        <v>9.6</v>
      </c>
      <c r="H246" s="33">
        <v>30.888096</v>
      </c>
      <c r="I246" s="37">
        <v>2763.12</v>
      </c>
      <c r="J246" s="33">
        <v>30.89</v>
      </c>
      <c r="K246" s="37">
        <v>2763.12</v>
      </c>
      <c r="L246" s="55">
        <f>J246/K246</f>
        <v>0.01117939141260604</v>
      </c>
      <c r="M246" s="29">
        <v>328.526</v>
      </c>
      <c r="N246" s="57">
        <f>L246*M246</f>
        <v>3.672720743217812</v>
      </c>
      <c r="O246" s="57">
        <f>L246*60*1000</f>
        <v>670.7634847563623</v>
      </c>
      <c r="P246" s="56">
        <f>O246*M246/1000</f>
        <v>220.36324459306869</v>
      </c>
      <c r="R246" s="10"/>
      <c r="S246" s="10"/>
    </row>
    <row r="247" spans="1:19" s="9" customFormat="1" ht="12.75">
      <c r="A247" s="271"/>
      <c r="B247" s="199" t="s">
        <v>136</v>
      </c>
      <c r="C247" s="269">
        <v>39</v>
      </c>
      <c r="D247" s="200">
        <v>1990</v>
      </c>
      <c r="E247" s="201">
        <v>35.7</v>
      </c>
      <c r="F247" s="202">
        <v>3.5700000000000003</v>
      </c>
      <c r="G247" s="202">
        <v>6.4</v>
      </c>
      <c r="H247" s="202">
        <v>25.73</v>
      </c>
      <c r="I247" s="203">
        <v>2295.46</v>
      </c>
      <c r="J247" s="202">
        <v>25.73</v>
      </c>
      <c r="K247" s="203">
        <v>2295.46</v>
      </c>
      <c r="L247" s="204">
        <v>0.011209082275448059</v>
      </c>
      <c r="M247" s="205">
        <v>314.574</v>
      </c>
      <c r="N247" s="206">
        <v>3.526085847716798</v>
      </c>
      <c r="O247" s="206">
        <v>672.5449365268835</v>
      </c>
      <c r="P247" s="207">
        <v>211.56515086300786</v>
      </c>
      <c r="R247" s="10"/>
      <c r="S247" s="10"/>
    </row>
    <row r="248" spans="1:19" s="9" customFormat="1" ht="12.75" customHeight="1">
      <c r="A248" s="271"/>
      <c r="B248" s="54" t="s">
        <v>751</v>
      </c>
      <c r="C248" s="27">
        <v>45</v>
      </c>
      <c r="D248" s="27">
        <v>1991</v>
      </c>
      <c r="E248" s="33">
        <f>F248+G248+H248</f>
        <v>40.71</v>
      </c>
      <c r="F248" s="33">
        <v>7.338</v>
      </c>
      <c r="G248" s="33">
        <v>7.2</v>
      </c>
      <c r="H248" s="33">
        <v>26.172</v>
      </c>
      <c r="I248" s="37">
        <v>2327.88</v>
      </c>
      <c r="J248" s="33">
        <f>H248</f>
        <v>26.172</v>
      </c>
      <c r="K248" s="37">
        <f>I248</f>
        <v>2327.88</v>
      </c>
      <c r="L248" s="55">
        <f>J248/K248</f>
        <v>0.011242847569462344</v>
      </c>
      <c r="M248" s="29">
        <v>206.9</v>
      </c>
      <c r="N248" s="57">
        <f>L248*M248</f>
        <v>2.326145162121759</v>
      </c>
      <c r="O248" s="57">
        <f>L248*60*1000</f>
        <v>674.5708541677407</v>
      </c>
      <c r="P248" s="56">
        <f>O248*M248/1000</f>
        <v>139.56870972730553</v>
      </c>
      <c r="R248" s="10"/>
      <c r="S248" s="10"/>
    </row>
    <row r="249" spans="1:19" s="9" customFormat="1" ht="12.75">
      <c r="A249" s="271"/>
      <c r="B249" s="43" t="s">
        <v>378</v>
      </c>
      <c r="C249" s="24">
        <v>40</v>
      </c>
      <c r="D249" s="24">
        <v>1998</v>
      </c>
      <c r="E249" s="74">
        <f>SUM(F249+G249+H249)</f>
        <v>35.4</v>
      </c>
      <c r="F249" s="74">
        <v>4.5</v>
      </c>
      <c r="G249" s="74">
        <v>6.4</v>
      </c>
      <c r="H249" s="74">
        <v>24.5</v>
      </c>
      <c r="I249" s="32">
        <v>2183.72</v>
      </c>
      <c r="J249" s="74">
        <v>24</v>
      </c>
      <c r="K249" s="32">
        <v>2133.76</v>
      </c>
      <c r="L249" s="44">
        <f>SUM(J249/K249)</f>
        <v>0.011247750449910016</v>
      </c>
      <c r="M249" s="26">
        <v>215.8</v>
      </c>
      <c r="N249" s="26">
        <f>SUM(L249*M249)</f>
        <v>2.427264547090582</v>
      </c>
      <c r="O249" s="26">
        <f>L249*60*1000</f>
        <v>674.865026994601</v>
      </c>
      <c r="P249" s="45">
        <f>SUM(N249*60)</f>
        <v>145.63587282543492</v>
      </c>
      <c r="R249" s="10"/>
      <c r="S249" s="10"/>
    </row>
    <row r="250" spans="1:19" s="9" customFormat="1" ht="12.75">
      <c r="A250" s="271"/>
      <c r="B250" s="54" t="s">
        <v>701</v>
      </c>
      <c r="C250" s="27">
        <v>45</v>
      </c>
      <c r="D250" s="27" t="s">
        <v>24</v>
      </c>
      <c r="E250" s="33">
        <v>38.92</v>
      </c>
      <c r="F250" s="33">
        <v>5.46</v>
      </c>
      <c r="G250" s="33">
        <v>7.2</v>
      </c>
      <c r="H250" s="33">
        <v>26.26</v>
      </c>
      <c r="I250" s="37">
        <v>2329</v>
      </c>
      <c r="J250" s="33">
        <v>26.26</v>
      </c>
      <c r="K250" s="37">
        <v>2329</v>
      </c>
      <c r="L250" s="55">
        <f>J250/K250</f>
        <v>0.011275225418634608</v>
      </c>
      <c r="M250" s="29">
        <v>234.2</v>
      </c>
      <c r="N250" s="57">
        <f>L250*M250</f>
        <v>2.640657793044225</v>
      </c>
      <c r="O250" s="57">
        <f>L250*60*1000</f>
        <v>676.5135251180765</v>
      </c>
      <c r="P250" s="56">
        <f>O250*M250/1000</f>
        <v>158.43946758265352</v>
      </c>
      <c r="R250" s="10"/>
      <c r="S250" s="10"/>
    </row>
    <row r="251" spans="1:19" s="9" customFormat="1" ht="12.75">
      <c r="A251" s="271"/>
      <c r="B251" s="199" t="s">
        <v>130</v>
      </c>
      <c r="C251" s="269">
        <v>58</v>
      </c>
      <c r="D251" s="200">
        <v>1991</v>
      </c>
      <c r="E251" s="201">
        <v>41.721000000000004</v>
      </c>
      <c r="F251" s="202">
        <v>4.7175</v>
      </c>
      <c r="G251" s="202">
        <v>9.44</v>
      </c>
      <c r="H251" s="202">
        <v>27.5635</v>
      </c>
      <c r="I251" s="203">
        <v>2439.79</v>
      </c>
      <c r="J251" s="202">
        <v>27.5635</v>
      </c>
      <c r="K251" s="203">
        <v>2439.79</v>
      </c>
      <c r="L251" s="204">
        <v>0.011297488718291329</v>
      </c>
      <c r="M251" s="205">
        <v>314.574</v>
      </c>
      <c r="N251" s="206">
        <v>3.5538962160677765</v>
      </c>
      <c r="O251" s="206">
        <v>677.8493230974797</v>
      </c>
      <c r="P251" s="207">
        <v>213.23377296406656</v>
      </c>
      <c r="R251" s="10"/>
      <c r="S251" s="10"/>
    </row>
    <row r="252" spans="1:19" s="9" customFormat="1" ht="12.75" customHeight="1">
      <c r="A252" s="271"/>
      <c r="B252" s="199" t="s">
        <v>132</v>
      </c>
      <c r="C252" s="269">
        <v>39</v>
      </c>
      <c r="D252" s="200">
        <v>1990</v>
      </c>
      <c r="E252" s="201">
        <v>35.801003</v>
      </c>
      <c r="F252" s="202">
        <v>4.472904</v>
      </c>
      <c r="G252" s="202">
        <v>6.24</v>
      </c>
      <c r="H252" s="202">
        <v>25.088099000000003</v>
      </c>
      <c r="I252" s="203">
        <v>2285.64</v>
      </c>
      <c r="J252" s="202">
        <v>25.088099000000003</v>
      </c>
      <c r="K252" s="203">
        <v>2218.03</v>
      </c>
      <c r="L252" s="204">
        <v>0.011310982718899203</v>
      </c>
      <c r="M252" s="205">
        <v>314.574</v>
      </c>
      <c r="N252" s="206">
        <v>3.558141077814998</v>
      </c>
      <c r="O252" s="206">
        <v>678.6589631339522</v>
      </c>
      <c r="P252" s="207">
        <v>213.4884646688999</v>
      </c>
      <c r="R252" s="10"/>
      <c r="S252" s="10"/>
    </row>
    <row r="253" spans="1:19" s="9" customFormat="1" ht="12.75">
      <c r="A253" s="271"/>
      <c r="B253" s="43" t="s">
        <v>484</v>
      </c>
      <c r="C253" s="24">
        <v>80</v>
      </c>
      <c r="D253" s="24" t="s">
        <v>24</v>
      </c>
      <c r="E253" s="74">
        <f>F253+G253+H253</f>
        <v>63.94</v>
      </c>
      <c r="F253" s="74">
        <v>5.7</v>
      </c>
      <c r="G253" s="74">
        <v>13.03</v>
      </c>
      <c r="H253" s="74">
        <v>45.21</v>
      </c>
      <c r="I253" s="32">
        <v>3919.9</v>
      </c>
      <c r="J253" s="74">
        <v>41.6</v>
      </c>
      <c r="K253" s="32">
        <v>3635.24</v>
      </c>
      <c r="L253" s="55">
        <f>J253/K253</f>
        <v>0.011443536052640266</v>
      </c>
      <c r="M253" s="29">
        <v>206.1</v>
      </c>
      <c r="N253" s="57">
        <f>L253*M253</f>
        <v>2.358512780449159</v>
      </c>
      <c r="O253" s="57">
        <f>L253*60*1000</f>
        <v>686.612163158416</v>
      </c>
      <c r="P253" s="56">
        <f>O253*M253/1000</f>
        <v>141.51076682694955</v>
      </c>
      <c r="Q253" s="11"/>
      <c r="R253" s="10"/>
      <c r="S253" s="10"/>
    </row>
    <row r="254" spans="1:19" s="9" customFormat="1" ht="12.75">
      <c r="A254" s="271"/>
      <c r="B254" s="54" t="s">
        <v>828</v>
      </c>
      <c r="C254" s="27">
        <v>20</v>
      </c>
      <c r="D254" s="27">
        <v>1976</v>
      </c>
      <c r="E254" s="33">
        <v>16.6</v>
      </c>
      <c r="F254" s="33">
        <v>1.8</v>
      </c>
      <c r="G254" s="33">
        <v>2.6</v>
      </c>
      <c r="H254" s="33">
        <v>12.2</v>
      </c>
      <c r="I254" s="82" t="s">
        <v>827</v>
      </c>
      <c r="J254" s="33">
        <v>12.2</v>
      </c>
      <c r="K254" s="37">
        <v>1064.7</v>
      </c>
      <c r="L254" s="55">
        <f>J254/K254</f>
        <v>0.011458626843242227</v>
      </c>
      <c r="M254" s="29">
        <v>346.4</v>
      </c>
      <c r="N254" s="57">
        <f>L254*M254</f>
        <v>3.9692683384991074</v>
      </c>
      <c r="O254" s="57">
        <f>L254*60*1000</f>
        <v>687.5176105945336</v>
      </c>
      <c r="P254" s="56">
        <f>O254*M254/1000</f>
        <v>238.15610030994642</v>
      </c>
      <c r="R254" s="10"/>
      <c r="S254" s="10"/>
    </row>
    <row r="255" spans="1:19" s="9" customFormat="1" ht="12.75">
      <c r="A255" s="271"/>
      <c r="B255" s="54" t="s">
        <v>680</v>
      </c>
      <c r="C255" s="27">
        <v>50</v>
      </c>
      <c r="D255" s="27">
        <v>1971</v>
      </c>
      <c r="E255" s="33">
        <v>42.981</v>
      </c>
      <c r="F255" s="33">
        <v>4.7736</v>
      </c>
      <c r="G255" s="33">
        <v>8</v>
      </c>
      <c r="H255" s="33">
        <v>30.2074</v>
      </c>
      <c r="I255" s="37">
        <v>2635.3</v>
      </c>
      <c r="J255" s="33">
        <v>30.21</v>
      </c>
      <c r="K255" s="37">
        <v>2635.3</v>
      </c>
      <c r="L255" s="55">
        <f>J255/K255</f>
        <v>0.011463590483056956</v>
      </c>
      <c r="M255" s="29">
        <v>328.526</v>
      </c>
      <c r="N255" s="57">
        <f>L255*M255</f>
        <v>3.76608752703677</v>
      </c>
      <c r="O255" s="57">
        <f>L255*60*1000</f>
        <v>687.8154289834174</v>
      </c>
      <c r="P255" s="56">
        <f>O255*M255/1000</f>
        <v>225.96525162220618</v>
      </c>
      <c r="R255" s="10"/>
      <c r="S255" s="10"/>
    </row>
    <row r="256" spans="1:19" s="9" customFormat="1" ht="12.75" customHeight="1">
      <c r="A256" s="271"/>
      <c r="B256" s="54" t="s">
        <v>681</v>
      </c>
      <c r="C256" s="27">
        <v>42</v>
      </c>
      <c r="D256" s="27">
        <v>2005</v>
      </c>
      <c r="E256" s="33">
        <v>33.935</v>
      </c>
      <c r="F256" s="33">
        <v>0.9945</v>
      </c>
      <c r="G256" s="33">
        <v>7.44</v>
      </c>
      <c r="H256" s="33">
        <v>25.5005</v>
      </c>
      <c r="I256" s="37">
        <v>2222.7</v>
      </c>
      <c r="J256" s="33">
        <v>24.68</v>
      </c>
      <c r="K256" s="37">
        <v>2150.09</v>
      </c>
      <c r="L256" s="55">
        <f>J256/K256</f>
        <v>0.011478589268356208</v>
      </c>
      <c r="M256" s="29">
        <v>328.526</v>
      </c>
      <c r="N256" s="57">
        <f>L256*M256</f>
        <v>3.7710150179759916</v>
      </c>
      <c r="O256" s="57">
        <f>L256*60*1000</f>
        <v>688.7153561013724</v>
      </c>
      <c r="P256" s="56">
        <f>O256*M256/1000</f>
        <v>226.2609010785595</v>
      </c>
      <c r="R256" s="10"/>
      <c r="S256" s="10"/>
    </row>
    <row r="257" spans="1:23" s="9" customFormat="1" ht="12.75">
      <c r="A257" s="271"/>
      <c r="B257" s="43" t="s">
        <v>33</v>
      </c>
      <c r="C257" s="24">
        <v>39</v>
      </c>
      <c r="D257" s="24">
        <v>1999</v>
      </c>
      <c r="E257" s="74">
        <v>37.719</v>
      </c>
      <c r="F257" s="74">
        <v>5.1102</v>
      </c>
      <c r="G257" s="74">
        <v>6.24</v>
      </c>
      <c r="H257" s="74">
        <v>26.3688</v>
      </c>
      <c r="I257" s="32">
        <v>2296.95</v>
      </c>
      <c r="J257" s="74">
        <v>26.3688</v>
      </c>
      <c r="K257" s="32">
        <v>2296.95</v>
      </c>
      <c r="L257" s="44">
        <f>J257/K257</f>
        <v>0.01147991902305231</v>
      </c>
      <c r="M257" s="24">
        <v>298.66</v>
      </c>
      <c r="N257" s="26">
        <f>L257*M257</f>
        <v>3.428592615424803</v>
      </c>
      <c r="O257" s="26">
        <f>L257*60*1000</f>
        <v>688.7951413831386</v>
      </c>
      <c r="P257" s="45">
        <f>O257*M257/1000</f>
        <v>205.71555692548816</v>
      </c>
      <c r="Q257" s="10"/>
      <c r="R257" s="10"/>
      <c r="S257" s="10"/>
      <c r="T257" s="12"/>
      <c r="U257" s="15"/>
      <c r="V257" s="15"/>
      <c r="W257" s="16"/>
    </row>
    <row r="258" spans="1:19" s="9" customFormat="1" ht="12.75">
      <c r="A258" s="271"/>
      <c r="B258" s="54" t="s">
        <v>467</v>
      </c>
      <c r="C258" s="27">
        <v>60</v>
      </c>
      <c r="D258" s="27">
        <v>1966</v>
      </c>
      <c r="E258" s="33">
        <v>46.36</v>
      </c>
      <c r="F258" s="33">
        <v>4.91</v>
      </c>
      <c r="G258" s="33">
        <v>9.6</v>
      </c>
      <c r="H258" s="33">
        <v>31.35</v>
      </c>
      <c r="I258" s="230"/>
      <c r="J258" s="33">
        <f>H258</f>
        <v>31.35</v>
      </c>
      <c r="K258" s="37">
        <v>2723</v>
      </c>
      <c r="L258" s="55">
        <f>J258/K258</f>
        <v>0.011513037091443261</v>
      </c>
      <c r="M258" s="29">
        <v>187.69</v>
      </c>
      <c r="N258" s="57">
        <f>L258*M258</f>
        <v>2.1608819316929857</v>
      </c>
      <c r="O258" s="57">
        <f>L258*60*1000</f>
        <v>690.7822254865956</v>
      </c>
      <c r="P258" s="56">
        <f>O258*M258/1000</f>
        <v>129.65291590157915</v>
      </c>
      <c r="R258" s="10"/>
      <c r="S258" s="10"/>
    </row>
    <row r="259" spans="1:19" s="9" customFormat="1" ht="12.75">
      <c r="A259" s="271"/>
      <c r="B259" s="43" t="s">
        <v>164</v>
      </c>
      <c r="C259" s="24">
        <v>50</v>
      </c>
      <c r="D259" s="24">
        <v>1975</v>
      </c>
      <c r="E259" s="74">
        <v>40.7</v>
      </c>
      <c r="F259" s="74">
        <v>4.28</v>
      </c>
      <c r="G259" s="74">
        <v>7.68</v>
      </c>
      <c r="H259" s="74">
        <f>E259-F259-G259</f>
        <v>28.740000000000002</v>
      </c>
      <c r="I259" s="32">
        <v>2485.16</v>
      </c>
      <c r="J259" s="74">
        <v>28.74</v>
      </c>
      <c r="K259" s="32">
        <v>2485.16</v>
      </c>
      <c r="L259" s="44">
        <f>J259/K259</f>
        <v>0.01156464774903829</v>
      </c>
      <c r="M259" s="26">
        <v>264.761</v>
      </c>
      <c r="N259" s="26">
        <f>L259*M259</f>
        <v>3.061867702683127</v>
      </c>
      <c r="O259" s="26">
        <f>L259*1000*60</f>
        <v>693.8788649422974</v>
      </c>
      <c r="P259" s="45">
        <f>N259*60</f>
        <v>183.7120621609876</v>
      </c>
      <c r="R259" s="10"/>
      <c r="S259" s="10"/>
    </row>
    <row r="260" spans="1:19" s="9" customFormat="1" ht="12.75">
      <c r="A260" s="271"/>
      <c r="B260" s="54" t="s">
        <v>453</v>
      </c>
      <c r="C260" s="27">
        <v>75</v>
      </c>
      <c r="D260" s="27" t="s">
        <v>24</v>
      </c>
      <c r="E260" s="33">
        <v>65.94</v>
      </c>
      <c r="F260" s="33">
        <v>7.85</v>
      </c>
      <c r="G260" s="33">
        <v>11.92</v>
      </c>
      <c r="H260" s="33">
        <v>46.17</v>
      </c>
      <c r="I260" s="37">
        <v>3990</v>
      </c>
      <c r="J260" s="33">
        <v>46.17</v>
      </c>
      <c r="K260" s="37">
        <v>3990</v>
      </c>
      <c r="L260" s="55">
        <f>J260/K260</f>
        <v>0.011571428571428571</v>
      </c>
      <c r="M260" s="29">
        <v>234.2</v>
      </c>
      <c r="N260" s="57">
        <f>L260*M260</f>
        <v>2.710028571428571</v>
      </c>
      <c r="O260" s="57">
        <f>L260*60*1000</f>
        <v>694.2857142857143</v>
      </c>
      <c r="P260" s="56">
        <f>O260*M260/1000</f>
        <v>162.60171428571428</v>
      </c>
      <c r="R260" s="10"/>
      <c r="S260" s="10"/>
    </row>
    <row r="261" spans="1:19" s="9" customFormat="1" ht="12.75">
      <c r="A261" s="271"/>
      <c r="B261" s="199" t="s">
        <v>126</v>
      </c>
      <c r="C261" s="269">
        <v>50</v>
      </c>
      <c r="D261" s="200">
        <v>1971</v>
      </c>
      <c r="E261" s="201">
        <v>43.381002</v>
      </c>
      <c r="F261" s="202">
        <v>5.202000000000001</v>
      </c>
      <c r="G261" s="202">
        <v>8</v>
      </c>
      <c r="H261" s="202">
        <v>30.179002</v>
      </c>
      <c r="I261" s="203">
        <v>2601.9</v>
      </c>
      <c r="J261" s="202">
        <v>30.179002</v>
      </c>
      <c r="K261" s="203">
        <v>2601.9</v>
      </c>
      <c r="L261" s="204">
        <v>0.011598832391713748</v>
      </c>
      <c r="M261" s="205">
        <v>314.574</v>
      </c>
      <c r="N261" s="206">
        <v>3.648691100790961</v>
      </c>
      <c r="O261" s="206">
        <v>695.9299435028249</v>
      </c>
      <c r="P261" s="207">
        <v>218.92146604745764</v>
      </c>
      <c r="R261" s="10"/>
      <c r="S261" s="10"/>
    </row>
    <row r="262" spans="1:19" s="9" customFormat="1" ht="12.75" customHeight="1">
      <c r="A262" s="271"/>
      <c r="B262" s="54" t="s">
        <v>412</v>
      </c>
      <c r="C262" s="27">
        <v>48</v>
      </c>
      <c r="D262" s="27">
        <v>1961</v>
      </c>
      <c r="E262" s="33">
        <v>38.33</v>
      </c>
      <c r="F262" s="33">
        <v>4.44</v>
      </c>
      <c r="G262" s="33">
        <v>7.68</v>
      </c>
      <c r="H262" s="33">
        <v>26.2</v>
      </c>
      <c r="I262" s="230"/>
      <c r="J262" s="33">
        <f>H262</f>
        <v>26.2</v>
      </c>
      <c r="K262" s="37">
        <v>2257</v>
      </c>
      <c r="L262" s="55">
        <f>J262/K262</f>
        <v>0.011608329641116527</v>
      </c>
      <c r="M262" s="29">
        <v>187.69</v>
      </c>
      <c r="N262" s="57">
        <f>L262*M262</f>
        <v>2.178767390341161</v>
      </c>
      <c r="O262" s="57">
        <f>L262*60*1000</f>
        <v>696.4997784669916</v>
      </c>
      <c r="P262" s="56">
        <f>O262*M262/1000</f>
        <v>130.72604342046967</v>
      </c>
      <c r="R262" s="10"/>
      <c r="S262" s="10"/>
    </row>
    <row r="263" spans="1:19" s="9" customFormat="1" ht="11.25" customHeight="1">
      <c r="A263" s="271"/>
      <c r="B263" s="43" t="s">
        <v>379</v>
      </c>
      <c r="C263" s="24">
        <v>40</v>
      </c>
      <c r="D263" s="24">
        <v>1986</v>
      </c>
      <c r="E263" s="74">
        <f>SUM(F263+G263+H263)</f>
        <v>38</v>
      </c>
      <c r="F263" s="74">
        <v>5.5</v>
      </c>
      <c r="G263" s="74">
        <v>6.4</v>
      </c>
      <c r="H263" s="74">
        <v>26.1</v>
      </c>
      <c r="I263" s="32">
        <v>2246.36</v>
      </c>
      <c r="J263" s="74">
        <v>26.1</v>
      </c>
      <c r="K263" s="32">
        <v>2246.4</v>
      </c>
      <c r="L263" s="44">
        <f>SUM(J263/K263)</f>
        <v>0.011618589743589744</v>
      </c>
      <c r="M263" s="26">
        <v>215.8</v>
      </c>
      <c r="N263" s="26">
        <f>SUM(L263*M263)</f>
        <v>2.5072916666666667</v>
      </c>
      <c r="O263" s="26">
        <f>L263*60*1000</f>
        <v>697.1153846153845</v>
      </c>
      <c r="P263" s="45">
        <f>SUM(N263*60)</f>
        <v>150.4375</v>
      </c>
      <c r="R263" s="10"/>
      <c r="S263" s="10"/>
    </row>
    <row r="264" spans="1:19" s="9" customFormat="1" ht="12.75" customHeight="1">
      <c r="A264" s="271"/>
      <c r="B264" s="54" t="s">
        <v>276</v>
      </c>
      <c r="C264" s="27">
        <v>40</v>
      </c>
      <c r="D264" s="27">
        <v>1987</v>
      </c>
      <c r="E264" s="33">
        <v>36.666</v>
      </c>
      <c r="F264" s="33">
        <v>3.672</v>
      </c>
      <c r="G264" s="33">
        <v>6.4</v>
      </c>
      <c r="H264" s="33">
        <v>26.594</v>
      </c>
      <c r="I264" s="37">
        <v>2280.42</v>
      </c>
      <c r="J264" s="33">
        <v>26.594</v>
      </c>
      <c r="K264" s="37">
        <v>2280.4</v>
      </c>
      <c r="L264" s="55">
        <f>J264/K264</f>
        <v>0.011661989124714962</v>
      </c>
      <c r="M264" s="29">
        <v>338.118</v>
      </c>
      <c r="N264" s="57">
        <f>L264*M264</f>
        <v>3.9431284388703736</v>
      </c>
      <c r="O264" s="57">
        <f>L264*60*1000</f>
        <v>699.7193474828977</v>
      </c>
      <c r="P264" s="56">
        <f>O264*M264/1000</f>
        <v>236.58770633222238</v>
      </c>
      <c r="R264" s="10"/>
      <c r="S264" s="10"/>
    </row>
    <row r="265" spans="1:19" s="9" customFormat="1" ht="12.75" customHeight="1">
      <c r="A265" s="271"/>
      <c r="B265" s="54" t="s">
        <v>520</v>
      </c>
      <c r="C265" s="27">
        <v>36</v>
      </c>
      <c r="D265" s="27" t="s">
        <v>24</v>
      </c>
      <c r="E265" s="33">
        <v>25.9</v>
      </c>
      <c r="F265" s="33">
        <f>45.2*0.051</f>
        <v>2.3052</v>
      </c>
      <c r="G265" s="33">
        <f>36*0.16</f>
        <v>5.76</v>
      </c>
      <c r="H265" s="33">
        <f>+E265-F265-G265</f>
        <v>17.8348</v>
      </c>
      <c r="I265" s="230"/>
      <c r="J265" s="33">
        <f>+H265</f>
        <v>17.8348</v>
      </c>
      <c r="K265" s="37">
        <v>1527.8</v>
      </c>
      <c r="L265" s="55">
        <f>J265/K265</f>
        <v>0.01167351747610944</v>
      </c>
      <c r="M265" s="29">
        <v>343.2</v>
      </c>
      <c r="N265" s="57">
        <f>L265*M265</f>
        <v>4.006351197800759</v>
      </c>
      <c r="O265" s="57">
        <f>L265*60*1000</f>
        <v>700.4110485665664</v>
      </c>
      <c r="P265" s="56">
        <f>O265*M265/1000</f>
        <v>240.38107186804558</v>
      </c>
      <c r="R265" s="10"/>
      <c r="S265" s="10"/>
    </row>
    <row r="266" spans="1:19" s="9" customFormat="1" ht="12.75" customHeight="1">
      <c r="A266" s="271"/>
      <c r="B266" s="43" t="s">
        <v>84</v>
      </c>
      <c r="C266" s="24">
        <v>40</v>
      </c>
      <c r="D266" s="24">
        <v>1995</v>
      </c>
      <c r="E266" s="74">
        <v>45.483</v>
      </c>
      <c r="F266" s="74">
        <v>7.123757</v>
      </c>
      <c r="G266" s="74">
        <v>6.4</v>
      </c>
      <c r="H266" s="74">
        <v>31.959243</v>
      </c>
      <c r="I266" s="32">
        <v>2734.01</v>
      </c>
      <c r="J266" s="74">
        <v>31.959244</v>
      </c>
      <c r="K266" s="32">
        <v>2734.01</v>
      </c>
      <c r="L266" s="44">
        <f>J266/K266</f>
        <v>0.011689512474350862</v>
      </c>
      <c r="M266" s="24">
        <v>298.66</v>
      </c>
      <c r="N266" s="26">
        <f>L266*M266</f>
        <v>3.4911897955896287</v>
      </c>
      <c r="O266" s="26">
        <f>L266*60*1000</f>
        <v>701.3707484610518</v>
      </c>
      <c r="P266" s="45">
        <f>O266*M266/1000</f>
        <v>209.47138773537773</v>
      </c>
      <c r="R266" s="10"/>
      <c r="S266" s="10"/>
    </row>
    <row r="267" spans="1:19" s="9" customFormat="1" ht="12.75" customHeight="1">
      <c r="A267" s="271"/>
      <c r="B267" s="54" t="s">
        <v>438</v>
      </c>
      <c r="C267" s="27">
        <v>45</v>
      </c>
      <c r="D267" s="27">
        <v>1983</v>
      </c>
      <c r="E267" s="33">
        <f>F267+G267+H267</f>
        <v>37.400000000000006</v>
      </c>
      <c r="F267" s="33">
        <v>3.01</v>
      </c>
      <c r="G267" s="33">
        <v>7.2</v>
      </c>
      <c r="H267" s="33">
        <v>27.19</v>
      </c>
      <c r="I267" s="37">
        <v>2323.8</v>
      </c>
      <c r="J267" s="33">
        <v>27.19</v>
      </c>
      <c r="K267" s="37">
        <v>2323.8</v>
      </c>
      <c r="L267" s="55">
        <f>J267/K267</f>
        <v>0.011700662707634047</v>
      </c>
      <c r="M267" s="29">
        <v>314.4</v>
      </c>
      <c r="N267" s="57">
        <f>L267*M267</f>
        <v>3.678688355280144</v>
      </c>
      <c r="O267" s="57">
        <f>L267*60*1000</f>
        <v>702.0397624580429</v>
      </c>
      <c r="P267" s="56">
        <f>O267*M267/1000</f>
        <v>220.72130131680868</v>
      </c>
      <c r="R267" s="10"/>
      <c r="S267" s="10"/>
    </row>
    <row r="268" spans="1:19" s="9" customFormat="1" ht="12.75" customHeight="1">
      <c r="A268" s="271"/>
      <c r="B268" s="43" t="s">
        <v>32</v>
      </c>
      <c r="C268" s="24">
        <v>71</v>
      </c>
      <c r="D268" s="24">
        <v>2006</v>
      </c>
      <c r="E268" s="74">
        <v>53.351</v>
      </c>
      <c r="F268" s="74">
        <v>6.2679</v>
      </c>
      <c r="G268" s="74">
        <v>5.68</v>
      </c>
      <c r="H268" s="74">
        <v>41.4031</v>
      </c>
      <c r="I268" s="32">
        <v>3533.18</v>
      </c>
      <c r="J268" s="74">
        <v>41.4031</v>
      </c>
      <c r="K268" s="32">
        <v>3533.18</v>
      </c>
      <c r="L268" s="44">
        <f>J268/K268</f>
        <v>0.011718367023474605</v>
      </c>
      <c r="M268" s="24">
        <v>298.66</v>
      </c>
      <c r="N268" s="26">
        <f>L268*M268</f>
        <v>3.4998074952309257</v>
      </c>
      <c r="O268" s="26">
        <f>L268*60*1000</f>
        <v>703.1020214084763</v>
      </c>
      <c r="P268" s="45">
        <f>O268*M268/1000</f>
        <v>209.98844971385554</v>
      </c>
      <c r="R268" s="10"/>
      <c r="S268" s="10"/>
    </row>
    <row r="269" spans="1:22" s="9" customFormat="1" ht="12.75">
      <c r="A269" s="271"/>
      <c r="B269" s="199" t="s">
        <v>127</v>
      </c>
      <c r="C269" s="269">
        <v>25</v>
      </c>
      <c r="D269" s="200">
        <v>1993</v>
      </c>
      <c r="E269" s="201">
        <v>23</v>
      </c>
      <c r="F269" s="202">
        <v>3.315</v>
      </c>
      <c r="G269" s="202">
        <v>4</v>
      </c>
      <c r="H269" s="202">
        <v>15.685</v>
      </c>
      <c r="I269" s="203">
        <v>1334.51</v>
      </c>
      <c r="J269" s="202">
        <v>15.685</v>
      </c>
      <c r="K269" s="203">
        <v>1334.51</v>
      </c>
      <c r="L269" s="204">
        <v>0.011753377644228968</v>
      </c>
      <c r="M269" s="205">
        <v>314.574</v>
      </c>
      <c r="N269" s="206">
        <v>3.6973070190556836</v>
      </c>
      <c r="O269" s="206">
        <v>705.2026586537381</v>
      </c>
      <c r="P269" s="207">
        <v>221.83842114334104</v>
      </c>
      <c r="Q269" s="10"/>
      <c r="R269" s="10"/>
      <c r="S269" s="10"/>
      <c r="T269" s="12"/>
      <c r="U269" s="13"/>
      <c r="V269" s="13"/>
    </row>
    <row r="270" spans="1:19" s="9" customFormat="1" ht="12.75">
      <c r="A270" s="271"/>
      <c r="B270" s="199" t="s">
        <v>133</v>
      </c>
      <c r="C270" s="269">
        <v>30</v>
      </c>
      <c r="D270" s="200">
        <v>1974</v>
      </c>
      <c r="E270" s="201">
        <v>27.999997999999998</v>
      </c>
      <c r="F270" s="202">
        <v>2.64027</v>
      </c>
      <c r="G270" s="202">
        <v>4.8</v>
      </c>
      <c r="H270" s="202">
        <v>20.559728</v>
      </c>
      <c r="I270" s="203">
        <v>1743.53</v>
      </c>
      <c r="J270" s="202">
        <v>20.559728</v>
      </c>
      <c r="K270" s="203">
        <v>1743.53</v>
      </c>
      <c r="L270" s="204">
        <v>0.011792012755731189</v>
      </c>
      <c r="M270" s="205">
        <v>314.574</v>
      </c>
      <c r="N270" s="206">
        <v>3.709460620621383</v>
      </c>
      <c r="O270" s="206">
        <v>707.5207653438713</v>
      </c>
      <c r="P270" s="207">
        <v>222.56763723728295</v>
      </c>
      <c r="Q270" s="11"/>
      <c r="R270" s="10"/>
      <c r="S270" s="10"/>
    </row>
    <row r="271" spans="1:19" s="9" customFormat="1" ht="12.75" customHeight="1">
      <c r="A271" s="271"/>
      <c r="B271" s="54" t="s">
        <v>829</v>
      </c>
      <c r="C271" s="27">
        <v>51</v>
      </c>
      <c r="D271" s="27">
        <v>1968</v>
      </c>
      <c r="E271" s="33">
        <v>44.3</v>
      </c>
      <c r="F271" s="33">
        <v>4.6</v>
      </c>
      <c r="G271" s="33">
        <v>8.1</v>
      </c>
      <c r="H271" s="33">
        <v>31.6</v>
      </c>
      <c r="I271" s="82" t="s">
        <v>827</v>
      </c>
      <c r="J271" s="33">
        <v>31.6</v>
      </c>
      <c r="K271" s="37">
        <v>2675.9</v>
      </c>
      <c r="L271" s="55">
        <f>J271/K271</f>
        <v>0.011809110953324115</v>
      </c>
      <c r="M271" s="29">
        <v>346.4</v>
      </c>
      <c r="N271" s="57">
        <f>L271*M271</f>
        <v>4.090676034231473</v>
      </c>
      <c r="O271" s="57">
        <f>L271*60*1000</f>
        <v>708.5466571994468</v>
      </c>
      <c r="P271" s="56">
        <f>O271*M271/1000</f>
        <v>245.44056205388836</v>
      </c>
      <c r="R271" s="10"/>
      <c r="S271" s="10"/>
    </row>
    <row r="272" spans="1:19" s="9" customFormat="1" ht="12.75">
      <c r="A272" s="271"/>
      <c r="B272" s="54" t="s">
        <v>121</v>
      </c>
      <c r="C272" s="27">
        <v>75</v>
      </c>
      <c r="D272" s="27">
        <v>1981</v>
      </c>
      <c r="E272" s="33">
        <f>F272+G272+H272</f>
        <v>65.7</v>
      </c>
      <c r="F272" s="33">
        <v>6.87</v>
      </c>
      <c r="G272" s="33">
        <v>11.84</v>
      </c>
      <c r="H272" s="33">
        <v>46.99</v>
      </c>
      <c r="I272" s="37">
        <v>4034.29</v>
      </c>
      <c r="J272" s="33">
        <v>46.99</v>
      </c>
      <c r="K272" s="37">
        <v>3952.66</v>
      </c>
      <c r="L272" s="55">
        <f>J272/K272</f>
        <v>0.011888196809237325</v>
      </c>
      <c r="M272" s="29">
        <v>314.4</v>
      </c>
      <c r="N272" s="57">
        <f>L272*M272</f>
        <v>3.7376490768242148</v>
      </c>
      <c r="O272" s="57">
        <f>L272*60*1000</f>
        <v>713.2918085542394</v>
      </c>
      <c r="P272" s="56">
        <f>O272*M272/1000</f>
        <v>224.25894460945284</v>
      </c>
      <c r="R272" s="10"/>
      <c r="S272" s="10"/>
    </row>
    <row r="273" spans="1:25" s="9" customFormat="1" ht="12.75">
      <c r="A273" s="271"/>
      <c r="B273" s="54" t="s">
        <v>120</v>
      </c>
      <c r="C273" s="27">
        <v>45</v>
      </c>
      <c r="D273" s="27">
        <v>1981</v>
      </c>
      <c r="E273" s="33">
        <f>F273+G273+H273</f>
        <v>39.82</v>
      </c>
      <c r="F273" s="33">
        <v>4.97</v>
      </c>
      <c r="G273" s="33">
        <v>7.2</v>
      </c>
      <c r="H273" s="33">
        <v>27.65</v>
      </c>
      <c r="I273" s="37">
        <v>2323.16</v>
      </c>
      <c r="J273" s="33">
        <v>27.65</v>
      </c>
      <c r="K273" s="37">
        <v>2323.16</v>
      </c>
      <c r="L273" s="55">
        <f>J273/K273</f>
        <v>0.01190189225021092</v>
      </c>
      <c r="M273" s="29">
        <v>314.4</v>
      </c>
      <c r="N273" s="57">
        <f>L273*M273</f>
        <v>3.741954923466313</v>
      </c>
      <c r="O273" s="57">
        <f>L273*60*1000</f>
        <v>714.1135350126551</v>
      </c>
      <c r="P273" s="56">
        <f>O273*M273/1000</f>
        <v>224.51729540797876</v>
      </c>
      <c r="Q273" s="10"/>
      <c r="R273" s="10"/>
      <c r="S273" s="10"/>
      <c r="T273" s="12"/>
      <c r="U273" s="13"/>
      <c r="V273" s="13"/>
      <c r="X273" s="16"/>
      <c r="Y273" s="16"/>
    </row>
    <row r="274" spans="1:19" s="9" customFormat="1" ht="12.75">
      <c r="A274" s="271"/>
      <c r="B274" s="199" t="s">
        <v>135</v>
      </c>
      <c r="C274" s="269">
        <v>50</v>
      </c>
      <c r="D274" s="200">
        <v>1971</v>
      </c>
      <c r="E274" s="201">
        <v>43.100001</v>
      </c>
      <c r="F274" s="202">
        <v>4.5645</v>
      </c>
      <c r="G274" s="202">
        <v>8</v>
      </c>
      <c r="H274" s="202">
        <v>30.535501</v>
      </c>
      <c r="I274" s="203">
        <v>2564.8</v>
      </c>
      <c r="J274" s="202">
        <v>30.535501</v>
      </c>
      <c r="K274" s="203">
        <v>2564.8</v>
      </c>
      <c r="L274" s="204">
        <v>0.011905607064878353</v>
      </c>
      <c r="M274" s="205">
        <v>314.574</v>
      </c>
      <c r="N274" s="206">
        <v>3.745194436827043</v>
      </c>
      <c r="O274" s="206">
        <v>714.3364238927011</v>
      </c>
      <c r="P274" s="207">
        <v>224.71166620962254</v>
      </c>
      <c r="R274" s="10"/>
      <c r="S274" s="10"/>
    </row>
    <row r="275" spans="1:19" s="9" customFormat="1" ht="12.75">
      <c r="A275" s="271"/>
      <c r="B275" s="43" t="s">
        <v>50</v>
      </c>
      <c r="C275" s="24">
        <v>50</v>
      </c>
      <c r="D275" s="24">
        <v>1988</v>
      </c>
      <c r="E275" s="74">
        <v>59.75</v>
      </c>
      <c r="F275" s="74">
        <v>9.08</v>
      </c>
      <c r="G275" s="74">
        <v>8</v>
      </c>
      <c r="H275" s="74">
        <f>E275-F275-G275</f>
        <v>42.67</v>
      </c>
      <c r="I275" s="32">
        <v>3582.3</v>
      </c>
      <c r="J275" s="74">
        <f>H275/I275*K275</f>
        <v>42.6664265974374</v>
      </c>
      <c r="K275" s="24">
        <v>3582</v>
      </c>
      <c r="L275" s="44">
        <f>J275/K275</f>
        <v>0.01191134187533149</v>
      </c>
      <c r="M275" s="139">
        <f>294.4*1.09</f>
        <v>320.896</v>
      </c>
      <c r="N275" s="26">
        <f>L275*M275</f>
        <v>3.822301962426374</v>
      </c>
      <c r="O275" s="26">
        <f>L275*60*1000</f>
        <v>714.6805125198894</v>
      </c>
      <c r="P275" s="45">
        <f>O275*M275/1000</f>
        <v>229.33811774558242</v>
      </c>
      <c r="R275" s="10"/>
      <c r="S275" s="10"/>
    </row>
    <row r="276" spans="1:19" s="9" customFormat="1" ht="12.75">
      <c r="A276" s="271"/>
      <c r="B276" s="43" t="s">
        <v>83</v>
      </c>
      <c r="C276" s="24">
        <v>28</v>
      </c>
      <c r="D276" s="24">
        <v>2000</v>
      </c>
      <c r="E276" s="74">
        <v>25.444</v>
      </c>
      <c r="F276" s="74">
        <v>2.51685</v>
      </c>
      <c r="G276" s="74">
        <v>4.4</v>
      </c>
      <c r="H276" s="74">
        <v>18.52715</v>
      </c>
      <c r="I276" s="32">
        <v>1552.52</v>
      </c>
      <c r="J276" s="74">
        <v>17.467089</v>
      </c>
      <c r="K276" s="32">
        <v>1463.69</v>
      </c>
      <c r="L276" s="44">
        <f>J276/K276</f>
        <v>0.011933598644521723</v>
      </c>
      <c r="M276" s="24">
        <v>298.66</v>
      </c>
      <c r="N276" s="26">
        <f>L276*M276</f>
        <v>3.564088571172858</v>
      </c>
      <c r="O276" s="26">
        <f>L276*60*1000</f>
        <v>716.0159186713033</v>
      </c>
      <c r="P276" s="45">
        <f>O276*M276/1000</f>
        <v>213.84531427037146</v>
      </c>
      <c r="R276" s="10"/>
      <c r="S276" s="10"/>
    </row>
    <row r="277" spans="1:19" s="9" customFormat="1" ht="12.75" customHeight="1">
      <c r="A277" s="271"/>
      <c r="B277" s="54" t="s">
        <v>735</v>
      </c>
      <c r="C277" s="27">
        <v>48</v>
      </c>
      <c r="D277" s="27">
        <v>1961</v>
      </c>
      <c r="E277" s="33">
        <v>40.33</v>
      </c>
      <c r="F277" s="33">
        <v>4.08</v>
      </c>
      <c r="G277" s="33">
        <v>7.68</v>
      </c>
      <c r="H277" s="33">
        <v>28.57</v>
      </c>
      <c r="I277" s="230"/>
      <c r="J277" s="33">
        <f>H277</f>
        <v>28.57</v>
      </c>
      <c r="K277" s="37">
        <v>2394</v>
      </c>
      <c r="L277" s="55">
        <f>J277/K277</f>
        <v>0.011934001670843776</v>
      </c>
      <c r="M277" s="29">
        <v>187.69</v>
      </c>
      <c r="N277" s="57">
        <f>L277*M277</f>
        <v>2.239892773600668</v>
      </c>
      <c r="O277" s="57">
        <f>L277*60*1000</f>
        <v>716.0401002506266</v>
      </c>
      <c r="P277" s="56">
        <f>O277*M277/1000</f>
        <v>134.3935664160401</v>
      </c>
      <c r="R277" s="10"/>
      <c r="S277" s="10"/>
    </row>
    <row r="278" spans="1:19" s="9" customFormat="1" ht="12.75">
      <c r="A278" s="271"/>
      <c r="B278" s="199" t="s">
        <v>131</v>
      </c>
      <c r="C278" s="269">
        <v>48</v>
      </c>
      <c r="D278" s="200">
        <v>1970</v>
      </c>
      <c r="E278" s="201">
        <v>40.895586</v>
      </c>
      <c r="F278" s="202">
        <v>3.8097000000000003</v>
      </c>
      <c r="G278" s="202">
        <v>7.68</v>
      </c>
      <c r="H278" s="202">
        <v>29.405886000000002</v>
      </c>
      <c r="I278" s="203">
        <v>2597.12</v>
      </c>
      <c r="J278" s="202">
        <v>29.405886000000002</v>
      </c>
      <c r="K278" s="203">
        <v>2461.48</v>
      </c>
      <c r="L278" s="204">
        <v>0.011946424915091734</v>
      </c>
      <c r="M278" s="205">
        <v>314.574</v>
      </c>
      <c r="N278" s="206">
        <v>3.7580346712400674</v>
      </c>
      <c r="O278" s="206">
        <v>716.785494905504</v>
      </c>
      <c r="P278" s="207">
        <v>225.48208027440404</v>
      </c>
      <c r="R278" s="39"/>
      <c r="S278" s="10"/>
    </row>
    <row r="279" spans="1:19" s="9" customFormat="1" ht="12.75">
      <c r="A279" s="271"/>
      <c r="B279" s="54" t="s">
        <v>454</v>
      </c>
      <c r="C279" s="27">
        <v>45</v>
      </c>
      <c r="D279" s="27" t="s">
        <v>24</v>
      </c>
      <c r="E279" s="33">
        <v>38.98</v>
      </c>
      <c r="F279" s="33">
        <v>3.88</v>
      </c>
      <c r="G279" s="33">
        <v>7.2</v>
      </c>
      <c r="H279" s="33">
        <v>27.9</v>
      </c>
      <c r="I279" s="37">
        <v>2334</v>
      </c>
      <c r="J279" s="33">
        <v>27.9</v>
      </c>
      <c r="K279" s="37">
        <v>2334</v>
      </c>
      <c r="L279" s="55">
        <f>J279/K279</f>
        <v>0.011953727506426735</v>
      </c>
      <c r="M279" s="29">
        <v>234.2</v>
      </c>
      <c r="N279" s="57">
        <f>L279*M279</f>
        <v>2.799562982005141</v>
      </c>
      <c r="O279" s="57">
        <f>L279*60*1000</f>
        <v>717.2236503856041</v>
      </c>
      <c r="P279" s="56">
        <f>O279*M279/1000</f>
        <v>167.97377892030846</v>
      </c>
      <c r="R279" s="10"/>
      <c r="S279" s="10"/>
    </row>
    <row r="280" spans="1:19" s="9" customFormat="1" ht="12.75">
      <c r="A280" s="271"/>
      <c r="B280" s="54" t="s">
        <v>570</v>
      </c>
      <c r="C280" s="27">
        <v>102</v>
      </c>
      <c r="D280" s="27">
        <v>1990</v>
      </c>
      <c r="E280" s="33">
        <v>36.8</v>
      </c>
      <c r="F280" s="33">
        <v>6.61614</v>
      </c>
      <c r="G280" s="33">
        <v>3.94</v>
      </c>
      <c r="H280" s="33">
        <f>E280-F280-G280</f>
        <v>26.243859999999994</v>
      </c>
      <c r="I280" s="37">
        <v>2188.22</v>
      </c>
      <c r="J280" s="33">
        <f>H280</f>
        <v>26.243859999999994</v>
      </c>
      <c r="K280" s="37">
        <f>I280</f>
        <v>2188.22</v>
      </c>
      <c r="L280" s="55">
        <f>J280/K280</f>
        <v>0.01199324565171692</v>
      </c>
      <c r="M280" s="29">
        <v>279.5</v>
      </c>
      <c r="N280" s="57">
        <f>L280*M280</f>
        <v>3.352112159654879</v>
      </c>
      <c r="O280" s="57">
        <f>L280*60*1000</f>
        <v>719.5947391030152</v>
      </c>
      <c r="P280" s="56">
        <f>O280*M280/1000</f>
        <v>201.12672957929274</v>
      </c>
      <c r="R280" s="10"/>
      <c r="S280" s="10"/>
    </row>
    <row r="281" spans="1:19" s="9" customFormat="1" ht="12.75">
      <c r="A281" s="271"/>
      <c r="B281" s="295" t="s">
        <v>1016</v>
      </c>
      <c r="C281" s="296">
        <v>45</v>
      </c>
      <c r="D281" s="297" t="s">
        <v>24</v>
      </c>
      <c r="E281" s="298">
        <v>41.88</v>
      </c>
      <c r="F281" s="298">
        <v>6.6</v>
      </c>
      <c r="G281" s="299">
        <v>7.2</v>
      </c>
      <c r="H281" s="298">
        <v>28.08</v>
      </c>
      <c r="I281" s="300">
        <v>2340.65</v>
      </c>
      <c r="J281" s="298">
        <v>28.08</v>
      </c>
      <c r="K281" s="300">
        <v>2340.65</v>
      </c>
      <c r="L281" s="55">
        <f>J281/K281</f>
        <v>0.011996667592335461</v>
      </c>
      <c r="M281" s="29">
        <v>269.2</v>
      </c>
      <c r="N281" s="57">
        <f>L281*M281</f>
        <v>3.229502915856706</v>
      </c>
      <c r="O281" s="57">
        <f>L281*60*1000</f>
        <v>719.8000555401276</v>
      </c>
      <c r="P281" s="56">
        <f>O281*M281/1000</f>
        <v>193.77017495140234</v>
      </c>
      <c r="R281" s="10"/>
      <c r="S281" s="10"/>
    </row>
    <row r="282" spans="1:19" s="9" customFormat="1" ht="12.75">
      <c r="A282" s="271"/>
      <c r="B282" s="43" t="s">
        <v>485</v>
      </c>
      <c r="C282" s="24">
        <v>85</v>
      </c>
      <c r="D282" s="24" t="s">
        <v>24</v>
      </c>
      <c r="E282" s="74">
        <f>SUM(F282:H282)</f>
        <v>65.32</v>
      </c>
      <c r="F282" s="74">
        <v>5.15</v>
      </c>
      <c r="G282" s="74">
        <v>13.86</v>
      </c>
      <c r="H282" s="74">
        <v>46.31</v>
      </c>
      <c r="I282" s="32">
        <v>3854.08</v>
      </c>
      <c r="J282" s="74">
        <v>45.88</v>
      </c>
      <c r="K282" s="32">
        <v>3819.34</v>
      </c>
      <c r="L282" s="55">
        <f>J282/K282</f>
        <v>0.012012546670367132</v>
      </c>
      <c r="M282" s="29">
        <v>206.1</v>
      </c>
      <c r="N282" s="57">
        <f>L282*M282</f>
        <v>2.475785868762666</v>
      </c>
      <c r="O282" s="57">
        <f>L282*60*1000</f>
        <v>720.7528002220279</v>
      </c>
      <c r="P282" s="56">
        <f>O282*M282/1000</f>
        <v>148.54715212575996</v>
      </c>
      <c r="R282" s="10"/>
      <c r="S282" s="10"/>
    </row>
    <row r="283" spans="1:19" s="9" customFormat="1" ht="12.75">
      <c r="A283" s="271"/>
      <c r="B283" s="54" t="s">
        <v>313</v>
      </c>
      <c r="C283" s="27">
        <v>66</v>
      </c>
      <c r="D283" s="27">
        <v>1972</v>
      </c>
      <c r="E283" s="33">
        <f>F283+G283+H283</f>
        <v>54.89</v>
      </c>
      <c r="F283" s="33">
        <v>5.78</v>
      </c>
      <c r="G283" s="33">
        <v>10.4</v>
      </c>
      <c r="H283" s="33">
        <v>38.71</v>
      </c>
      <c r="I283" s="37">
        <v>3215.54</v>
      </c>
      <c r="J283" s="33">
        <v>38.71</v>
      </c>
      <c r="K283" s="37">
        <v>3215.54</v>
      </c>
      <c r="L283" s="55">
        <f>J283/K283</f>
        <v>0.012038413454660803</v>
      </c>
      <c r="M283" s="29">
        <v>314.4</v>
      </c>
      <c r="N283" s="57">
        <f>L283*M283</f>
        <v>3.784877190145356</v>
      </c>
      <c r="O283" s="57">
        <f>L283*60*1000</f>
        <v>722.3048072796482</v>
      </c>
      <c r="P283" s="56">
        <f>O283*M283/1000</f>
        <v>227.0926314087214</v>
      </c>
      <c r="R283" s="10"/>
      <c r="S283" s="10"/>
    </row>
    <row r="284" spans="1:19" s="9" customFormat="1" ht="11.25" customHeight="1">
      <c r="A284" s="271"/>
      <c r="B284" s="54" t="s">
        <v>109</v>
      </c>
      <c r="C284" s="27">
        <v>20</v>
      </c>
      <c r="D284" s="27">
        <v>1969</v>
      </c>
      <c r="E284" s="33">
        <v>19.538</v>
      </c>
      <c r="F284" s="33">
        <v>1.122</v>
      </c>
      <c r="G284" s="33">
        <v>3.2</v>
      </c>
      <c r="H284" s="33">
        <v>15.216</v>
      </c>
      <c r="I284" s="37">
        <v>1259.31</v>
      </c>
      <c r="J284" s="33">
        <v>15.216</v>
      </c>
      <c r="K284" s="37">
        <v>1259.31</v>
      </c>
      <c r="L284" s="55">
        <f>J284/K284</f>
        <v>0.012082807251590156</v>
      </c>
      <c r="M284" s="29">
        <v>338.118</v>
      </c>
      <c r="N284" s="57">
        <f>L284*M284</f>
        <v>4.08541462229316</v>
      </c>
      <c r="O284" s="57">
        <f>L284*60*1000</f>
        <v>724.9684350954093</v>
      </c>
      <c r="P284" s="56">
        <f>O284*M284/1000</f>
        <v>245.1248773375896</v>
      </c>
      <c r="R284" s="10"/>
      <c r="S284" s="10"/>
    </row>
    <row r="285" spans="1:19" s="9" customFormat="1" ht="12.75" customHeight="1">
      <c r="A285" s="271"/>
      <c r="B285" s="54" t="s">
        <v>959</v>
      </c>
      <c r="C285" s="27">
        <v>20</v>
      </c>
      <c r="D285" s="27">
        <v>1979</v>
      </c>
      <c r="E285" s="33">
        <v>16.75</v>
      </c>
      <c r="F285" s="33">
        <v>1.909</v>
      </c>
      <c r="G285" s="33">
        <v>3.168</v>
      </c>
      <c r="H285" s="33">
        <v>11.673</v>
      </c>
      <c r="I285" s="37">
        <v>964.06</v>
      </c>
      <c r="J285" s="33">
        <v>11.673</v>
      </c>
      <c r="K285" s="37">
        <v>964.06</v>
      </c>
      <c r="L285" s="55">
        <f>J285/K285</f>
        <v>0.01210816754143933</v>
      </c>
      <c r="M285" s="29">
        <v>298.987</v>
      </c>
      <c r="N285" s="57">
        <f>L285*M285</f>
        <v>3.6201846887123215</v>
      </c>
      <c r="O285" s="57">
        <f>L285*60*1000</f>
        <v>726.4900524863598</v>
      </c>
      <c r="P285" s="56">
        <f>O285*M285/1000</f>
        <v>217.2110813227393</v>
      </c>
      <c r="R285" s="10"/>
      <c r="S285" s="10"/>
    </row>
    <row r="286" spans="1:19" s="9" customFormat="1" ht="12.75" customHeight="1">
      <c r="A286" s="271"/>
      <c r="B286" s="54" t="s">
        <v>279</v>
      </c>
      <c r="C286" s="27">
        <v>40</v>
      </c>
      <c r="D286" s="27">
        <v>1983</v>
      </c>
      <c r="E286" s="33">
        <v>36.302</v>
      </c>
      <c r="F286" s="33">
        <v>2.601</v>
      </c>
      <c r="G286" s="33">
        <v>6.4</v>
      </c>
      <c r="H286" s="33">
        <v>27.301</v>
      </c>
      <c r="I286" s="37">
        <v>2254.6</v>
      </c>
      <c r="J286" s="33">
        <v>27.301</v>
      </c>
      <c r="K286" s="37">
        <v>2254.6</v>
      </c>
      <c r="L286" s="55">
        <f>J286/K286</f>
        <v>0.012109021555930098</v>
      </c>
      <c r="M286" s="29">
        <v>338.118</v>
      </c>
      <c r="N286" s="57">
        <f>L286*M286</f>
        <v>4.094278150447973</v>
      </c>
      <c r="O286" s="57">
        <f>L286*60*1000</f>
        <v>726.5412933558058</v>
      </c>
      <c r="P286" s="56">
        <f>O286*M286/1000</f>
        <v>245.65668902687833</v>
      </c>
      <c r="R286" s="10"/>
      <c r="S286" s="10"/>
    </row>
    <row r="287" spans="1:19" s="9" customFormat="1" ht="12.75" customHeight="1">
      <c r="A287" s="271"/>
      <c r="B287" s="54" t="s">
        <v>519</v>
      </c>
      <c r="C287" s="27">
        <v>20</v>
      </c>
      <c r="D287" s="27" t="s">
        <v>24</v>
      </c>
      <c r="E287" s="33">
        <v>17.6</v>
      </c>
      <c r="F287" s="33">
        <f>30*0.051</f>
        <v>1.5299999999999998</v>
      </c>
      <c r="G287" s="33">
        <f>20*0.16</f>
        <v>3.2</v>
      </c>
      <c r="H287" s="33">
        <f>+E287-F287-G287</f>
        <v>12.870000000000001</v>
      </c>
      <c r="I287" s="230"/>
      <c r="J287" s="33">
        <f>+H287</f>
        <v>12.870000000000001</v>
      </c>
      <c r="K287" s="37">
        <v>1062</v>
      </c>
      <c r="L287" s="55">
        <f>J287/K287</f>
        <v>0.012118644067796612</v>
      </c>
      <c r="M287" s="29">
        <v>343.2</v>
      </c>
      <c r="N287" s="57">
        <f>L287*M287</f>
        <v>4.159118644067797</v>
      </c>
      <c r="O287" s="57">
        <f>L287*60*1000</f>
        <v>727.1186440677967</v>
      </c>
      <c r="P287" s="56">
        <f>O287*M287/1000</f>
        <v>249.5471186440678</v>
      </c>
      <c r="R287" s="10"/>
      <c r="S287" s="10"/>
    </row>
    <row r="288" spans="1:19" s="9" customFormat="1" ht="12.75" customHeight="1">
      <c r="A288" s="271"/>
      <c r="B288" s="199" t="s">
        <v>208</v>
      </c>
      <c r="C288" s="269">
        <v>51</v>
      </c>
      <c r="D288" s="200">
        <v>1972</v>
      </c>
      <c r="E288" s="201">
        <v>44.239999</v>
      </c>
      <c r="F288" s="202">
        <v>4.5135000000000005</v>
      </c>
      <c r="G288" s="202">
        <v>8</v>
      </c>
      <c r="H288" s="202">
        <v>31.726499</v>
      </c>
      <c r="I288" s="203">
        <v>2608.15</v>
      </c>
      <c r="J288" s="202">
        <v>31.726499</v>
      </c>
      <c r="K288" s="203">
        <v>2608.15</v>
      </c>
      <c r="L288" s="204">
        <v>0.01216436899718191</v>
      </c>
      <c r="M288" s="205">
        <v>314.574</v>
      </c>
      <c r="N288" s="206">
        <v>3.8265942129195025</v>
      </c>
      <c r="O288" s="206">
        <v>729.8621398309147</v>
      </c>
      <c r="P288" s="207">
        <v>229.59565277517015</v>
      </c>
      <c r="R288" s="10"/>
      <c r="S288" s="10"/>
    </row>
    <row r="289" spans="1:19" s="9" customFormat="1" ht="12.75" customHeight="1">
      <c r="A289" s="271"/>
      <c r="B289" s="199" t="s">
        <v>129</v>
      </c>
      <c r="C289" s="269">
        <v>82</v>
      </c>
      <c r="D289" s="200">
        <v>1995</v>
      </c>
      <c r="E289" s="201">
        <v>84.99999700000001</v>
      </c>
      <c r="F289" s="202">
        <v>9.639</v>
      </c>
      <c r="G289" s="202">
        <v>14.4</v>
      </c>
      <c r="H289" s="202">
        <v>60.960997</v>
      </c>
      <c r="I289" s="203">
        <v>5009.12</v>
      </c>
      <c r="J289" s="202">
        <v>60.960997</v>
      </c>
      <c r="K289" s="203">
        <v>5009.12</v>
      </c>
      <c r="L289" s="204">
        <v>0.012170001317596704</v>
      </c>
      <c r="M289" s="205">
        <v>314.574</v>
      </c>
      <c r="N289" s="206">
        <v>3.8283659944816657</v>
      </c>
      <c r="O289" s="206">
        <v>730.2000790558022</v>
      </c>
      <c r="P289" s="207">
        <v>229.70195966889995</v>
      </c>
      <c r="R289" s="10"/>
      <c r="S289" s="10"/>
    </row>
    <row r="290" spans="1:19" s="9" customFormat="1" ht="13.5" customHeight="1">
      <c r="A290" s="271"/>
      <c r="B290" s="54" t="s">
        <v>278</v>
      </c>
      <c r="C290" s="27">
        <v>40</v>
      </c>
      <c r="D290" s="27">
        <v>1984</v>
      </c>
      <c r="E290" s="33">
        <v>37.247</v>
      </c>
      <c r="F290" s="33">
        <v>3.213</v>
      </c>
      <c r="G290" s="33">
        <v>6.4</v>
      </c>
      <c r="H290" s="33">
        <v>27.634</v>
      </c>
      <c r="I290" s="37">
        <v>2269.42</v>
      </c>
      <c r="J290" s="33">
        <v>27.634</v>
      </c>
      <c r="K290" s="37">
        <v>2269.42</v>
      </c>
      <c r="L290" s="55">
        <f>J290/K290</f>
        <v>0.012176679504014241</v>
      </c>
      <c r="M290" s="29">
        <v>338.118</v>
      </c>
      <c r="N290" s="57">
        <f>L290*M290</f>
        <v>4.117154520538287</v>
      </c>
      <c r="O290" s="57">
        <f>L290*60*1000</f>
        <v>730.6007702408544</v>
      </c>
      <c r="P290" s="56">
        <f>O290*M290/1000</f>
        <v>247.02927123229722</v>
      </c>
      <c r="R290" s="10"/>
      <c r="S290" s="10"/>
    </row>
    <row r="291" spans="1:19" s="9" customFormat="1" ht="13.5" customHeight="1">
      <c r="A291" s="271"/>
      <c r="B291" s="54" t="s">
        <v>893</v>
      </c>
      <c r="C291" s="27">
        <v>55</v>
      </c>
      <c r="D291" s="27" t="s">
        <v>892</v>
      </c>
      <c r="E291" s="33">
        <v>43.554</v>
      </c>
      <c r="F291" s="33">
        <v>3.649</v>
      </c>
      <c r="G291" s="33">
        <v>8.8</v>
      </c>
      <c r="H291" s="33">
        <v>31.105</v>
      </c>
      <c r="I291" s="257"/>
      <c r="J291" s="33">
        <v>31.105</v>
      </c>
      <c r="K291" s="37">
        <v>2542.62</v>
      </c>
      <c r="L291" s="55">
        <f>J291/K291</f>
        <v>0.012233444242552958</v>
      </c>
      <c r="M291" s="29">
        <v>276.97</v>
      </c>
      <c r="N291" s="57">
        <f>L291*M291</f>
        <v>3.3882970518598934</v>
      </c>
      <c r="O291" s="57">
        <f>L291*60*1000</f>
        <v>734.0066545531774</v>
      </c>
      <c r="P291" s="56">
        <f>O291*M291/1000</f>
        <v>203.29782311159357</v>
      </c>
      <c r="Q291" s="11"/>
      <c r="R291" s="10"/>
      <c r="S291" s="10"/>
    </row>
    <row r="292" spans="1:19" s="9" customFormat="1" ht="12.75" customHeight="1">
      <c r="A292" s="271"/>
      <c r="B292" s="199" t="s">
        <v>128</v>
      </c>
      <c r="C292" s="269">
        <v>30</v>
      </c>
      <c r="D292" s="200">
        <v>1990</v>
      </c>
      <c r="E292" s="201">
        <v>29.200003000000002</v>
      </c>
      <c r="F292" s="202">
        <v>4.6665</v>
      </c>
      <c r="G292" s="202">
        <v>4.8</v>
      </c>
      <c r="H292" s="202">
        <v>19.733503000000002</v>
      </c>
      <c r="I292" s="203">
        <v>1613.04</v>
      </c>
      <c r="J292" s="202">
        <v>19.733503000000002</v>
      </c>
      <c r="K292" s="203">
        <v>1613.04</v>
      </c>
      <c r="L292" s="204">
        <v>0.012233734439319547</v>
      </c>
      <c r="M292" s="205">
        <v>314.574</v>
      </c>
      <c r="N292" s="206">
        <v>3.8484147775145074</v>
      </c>
      <c r="O292" s="206">
        <v>734.0240663591728</v>
      </c>
      <c r="P292" s="207">
        <v>230.90488665087042</v>
      </c>
      <c r="R292" s="10"/>
      <c r="S292" s="10"/>
    </row>
    <row r="293" spans="1:19" s="9" customFormat="1" ht="12.75">
      <c r="A293" s="271"/>
      <c r="B293" s="54" t="s">
        <v>660</v>
      </c>
      <c r="C293" s="27">
        <v>45</v>
      </c>
      <c r="D293" s="27">
        <v>1975</v>
      </c>
      <c r="E293" s="33">
        <f>F293+G293+H293</f>
        <v>39.019999999999996</v>
      </c>
      <c r="F293" s="33">
        <v>3.44</v>
      </c>
      <c r="G293" s="33">
        <v>7.2</v>
      </c>
      <c r="H293" s="33">
        <v>28.38</v>
      </c>
      <c r="I293" s="37">
        <v>2318.65</v>
      </c>
      <c r="J293" s="33">
        <v>28.38</v>
      </c>
      <c r="K293" s="37">
        <v>2318.65</v>
      </c>
      <c r="L293" s="55">
        <f>J293/K293</f>
        <v>0.012239880965216828</v>
      </c>
      <c r="M293" s="29">
        <v>314.4</v>
      </c>
      <c r="N293" s="57">
        <f>L293*M293</f>
        <v>3.8482185754641707</v>
      </c>
      <c r="O293" s="57">
        <f>L293*60*1000</f>
        <v>734.3928579130097</v>
      </c>
      <c r="P293" s="56">
        <f>O293*M293/1000</f>
        <v>230.89311452785023</v>
      </c>
      <c r="R293" s="10"/>
      <c r="S293" s="10"/>
    </row>
    <row r="294" spans="1:19" s="9" customFormat="1" ht="12.75">
      <c r="A294" s="271"/>
      <c r="B294" s="54" t="s">
        <v>280</v>
      </c>
      <c r="C294" s="27">
        <v>40</v>
      </c>
      <c r="D294" s="27">
        <v>1979</v>
      </c>
      <c r="E294" s="33">
        <v>36.705</v>
      </c>
      <c r="F294" s="33">
        <v>3.519</v>
      </c>
      <c r="G294" s="33">
        <v>6.24</v>
      </c>
      <c r="H294" s="33">
        <v>26.946</v>
      </c>
      <c r="I294" s="37">
        <v>2257.74</v>
      </c>
      <c r="J294" s="33">
        <v>26.8</v>
      </c>
      <c r="K294" s="37">
        <v>2180.68</v>
      </c>
      <c r="L294" s="55">
        <f>J294/K294</f>
        <v>0.01228974448337216</v>
      </c>
      <c r="M294" s="29">
        <v>338.118</v>
      </c>
      <c r="N294" s="57">
        <f>L294*M294</f>
        <v>4.155383825228828</v>
      </c>
      <c r="O294" s="57">
        <f>L294*60*1000</f>
        <v>737.3846690023296</v>
      </c>
      <c r="P294" s="56">
        <f>O294*M294/1000</f>
        <v>249.32302951372967</v>
      </c>
      <c r="R294" s="10"/>
      <c r="S294" s="10"/>
    </row>
    <row r="295" spans="1:19" s="9" customFormat="1" ht="12.75" customHeight="1">
      <c r="A295" s="271"/>
      <c r="B295" s="43" t="s">
        <v>490</v>
      </c>
      <c r="C295" s="24">
        <v>36</v>
      </c>
      <c r="D295" s="24" t="s">
        <v>24</v>
      </c>
      <c r="E295" s="74">
        <f>SUM(F295:H295)</f>
        <v>37.57</v>
      </c>
      <c r="F295" s="74">
        <v>3.5</v>
      </c>
      <c r="G295" s="74">
        <v>5.95</v>
      </c>
      <c r="H295" s="74">
        <v>28.12</v>
      </c>
      <c r="I295" s="32">
        <v>2354.69</v>
      </c>
      <c r="J295" s="74">
        <v>25.5</v>
      </c>
      <c r="K295" s="32">
        <v>2070.59</v>
      </c>
      <c r="L295" s="55">
        <f>J295/K295</f>
        <v>0.012315330413070669</v>
      </c>
      <c r="M295" s="29">
        <v>206.1</v>
      </c>
      <c r="N295" s="57">
        <f>L295*M295</f>
        <v>2.5381895981338647</v>
      </c>
      <c r="O295" s="57">
        <f>L295*60*1000</f>
        <v>738.9198247842401</v>
      </c>
      <c r="P295" s="56">
        <f>O295*M295/1000</f>
        <v>152.29137588803187</v>
      </c>
      <c r="R295" s="10"/>
      <c r="S295" s="10"/>
    </row>
    <row r="296" spans="1:19" s="9" customFormat="1" ht="12.75">
      <c r="A296" s="271"/>
      <c r="B296" s="54" t="s">
        <v>105</v>
      </c>
      <c r="C296" s="27">
        <v>40</v>
      </c>
      <c r="D296" s="27">
        <v>1981</v>
      </c>
      <c r="E296" s="33">
        <v>37.106</v>
      </c>
      <c r="F296" s="33">
        <v>2.958</v>
      </c>
      <c r="G296" s="33">
        <v>6.4</v>
      </c>
      <c r="H296" s="33">
        <v>27.748</v>
      </c>
      <c r="I296" s="37">
        <v>2251.3</v>
      </c>
      <c r="J296" s="33">
        <v>27.748</v>
      </c>
      <c r="K296" s="37">
        <v>2251.3</v>
      </c>
      <c r="L296" s="55">
        <f>J296/K296</f>
        <v>0.012325323146626392</v>
      </c>
      <c r="M296" s="29">
        <v>338.118</v>
      </c>
      <c r="N296" s="57">
        <f>L296*M296</f>
        <v>4.167413611691022</v>
      </c>
      <c r="O296" s="57">
        <f>L296*60*1000</f>
        <v>739.5193887975835</v>
      </c>
      <c r="P296" s="56">
        <f>O296*M296/1000</f>
        <v>250.04481670146131</v>
      </c>
      <c r="R296" s="10"/>
      <c r="S296" s="10"/>
    </row>
    <row r="297" spans="1:19" s="9" customFormat="1" ht="12.75">
      <c r="A297" s="271"/>
      <c r="B297" s="54" t="s">
        <v>661</v>
      </c>
      <c r="C297" s="27">
        <v>30</v>
      </c>
      <c r="D297" s="27">
        <v>1986</v>
      </c>
      <c r="E297" s="33">
        <f>F297+G297+H297</f>
        <v>26.8</v>
      </c>
      <c r="F297" s="33">
        <v>2.31</v>
      </c>
      <c r="G297" s="33">
        <v>4.8</v>
      </c>
      <c r="H297" s="33">
        <v>19.69</v>
      </c>
      <c r="I297" s="37">
        <v>1589.97</v>
      </c>
      <c r="J297" s="33">
        <v>19.69</v>
      </c>
      <c r="K297" s="37">
        <v>1589.97</v>
      </c>
      <c r="L297" s="55">
        <f>J297/K297</f>
        <v>0.012383881456882835</v>
      </c>
      <c r="M297" s="29">
        <v>314.4</v>
      </c>
      <c r="N297" s="57">
        <f>L297*M297</f>
        <v>3.893492330043963</v>
      </c>
      <c r="O297" s="57">
        <f>L297*60*1000</f>
        <v>743.0328874129701</v>
      </c>
      <c r="P297" s="56">
        <f>O297*M297/1000</f>
        <v>233.60953980263778</v>
      </c>
      <c r="R297" s="10"/>
      <c r="S297" s="10"/>
    </row>
    <row r="298" spans="1:19" s="9" customFormat="1" ht="12.75">
      <c r="A298" s="271"/>
      <c r="B298" s="54" t="s">
        <v>817</v>
      </c>
      <c r="C298" s="27">
        <v>40</v>
      </c>
      <c r="D298" s="27" t="s">
        <v>24</v>
      </c>
      <c r="E298" s="33">
        <v>37</v>
      </c>
      <c r="F298" s="33">
        <f>58*0.051</f>
        <v>2.9579999999999997</v>
      </c>
      <c r="G298" s="33">
        <f>40*0.16</f>
        <v>6.4</v>
      </c>
      <c r="H298" s="33">
        <f>+E298-F298-G298</f>
        <v>27.642000000000003</v>
      </c>
      <c r="I298" s="230"/>
      <c r="J298" s="33">
        <f>+H298</f>
        <v>27.642000000000003</v>
      </c>
      <c r="K298" s="37">
        <v>2231.32</v>
      </c>
      <c r="L298" s="55">
        <f>J298/K298</f>
        <v>0.01238818277969991</v>
      </c>
      <c r="M298" s="29">
        <v>343.2</v>
      </c>
      <c r="N298" s="57">
        <f>L298*M298</f>
        <v>4.2516243299930085</v>
      </c>
      <c r="O298" s="57">
        <f>L298*60*1000</f>
        <v>743.2909667819946</v>
      </c>
      <c r="P298" s="56">
        <f>O298*M298/1000</f>
        <v>255.09745979958055</v>
      </c>
      <c r="R298" s="10"/>
      <c r="S298" s="10"/>
    </row>
    <row r="299" spans="1:19" s="9" customFormat="1" ht="12.75">
      <c r="A299" s="271"/>
      <c r="B299" s="54" t="s">
        <v>230</v>
      </c>
      <c r="C299" s="27">
        <v>36</v>
      </c>
      <c r="D299" s="27">
        <v>1967</v>
      </c>
      <c r="E299" s="33">
        <v>27.5</v>
      </c>
      <c r="F299" s="33">
        <v>3.056</v>
      </c>
      <c r="G299" s="33">
        <v>5.76</v>
      </c>
      <c r="H299" s="33">
        <v>18.584</v>
      </c>
      <c r="I299" s="37">
        <v>1500.89</v>
      </c>
      <c r="J299" s="33">
        <v>18.6</v>
      </c>
      <c r="K299" s="37">
        <v>1500.9</v>
      </c>
      <c r="L299" s="55">
        <f>J299/K299</f>
        <v>0.012392564461323207</v>
      </c>
      <c r="M299" s="29">
        <v>224.1</v>
      </c>
      <c r="N299" s="57">
        <f>L299*M299</f>
        <v>2.7771736957825306</v>
      </c>
      <c r="O299" s="57">
        <f>L299*60*1000</f>
        <v>743.5538676793925</v>
      </c>
      <c r="P299" s="56">
        <f>O299*M299/1000</f>
        <v>166.63042174695184</v>
      </c>
      <c r="R299" s="10"/>
      <c r="S299" s="10"/>
    </row>
    <row r="300" spans="1:19" s="9" customFormat="1" ht="12.75">
      <c r="A300" s="271"/>
      <c r="B300" s="43" t="s">
        <v>82</v>
      </c>
      <c r="C300" s="24">
        <v>42</v>
      </c>
      <c r="D300" s="24">
        <v>2000</v>
      </c>
      <c r="E300" s="74">
        <v>48.0971</v>
      </c>
      <c r="F300" s="74">
        <v>6.69375</v>
      </c>
      <c r="G300" s="74">
        <v>6.64</v>
      </c>
      <c r="H300" s="74">
        <v>34.76335</v>
      </c>
      <c r="I300" s="32">
        <v>2801.5899999999997</v>
      </c>
      <c r="J300" s="74">
        <v>34.237603</v>
      </c>
      <c r="K300" s="32">
        <v>2759.22</v>
      </c>
      <c r="L300" s="44">
        <f>J300/K300</f>
        <v>0.012408435354919145</v>
      </c>
      <c r="M300" s="24">
        <v>298.66</v>
      </c>
      <c r="N300" s="26">
        <f>L300*M300</f>
        <v>3.7059033031001523</v>
      </c>
      <c r="O300" s="26">
        <f>L300*60*1000</f>
        <v>744.5061212951487</v>
      </c>
      <c r="P300" s="45">
        <f>O300*M300/1000</f>
        <v>222.3541981860091</v>
      </c>
      <c r="R300" s="10"/>
      <c r="S300" s="10"/>
    </row>
    <row r="301" spans="1:19" s="9" customFormat="1" ht="12.75">
      <c r="A301" s="271"/>
      <c r="B301" s="54" t="s">
        <v>311</v>
      </c>
      <c r="C301" s="27">
        <v>55</v>
      </c>
      <c r="D301" s="27">
        <v>1992</v>
      </c>
      <c r="E301" s="33">
        <f>F301+G301+H301</f>
        <v>46.6</v>
      </c>
      <c r="F301" s="33">
        <v>0</v>
      </c>
      <c r="G301" s="33">
        <v>0</v>
      </c>
      <c r="H301" s="33">
        <v>46.6</v>
      </c>
      <c r="I301" s="37">
        <v>3755.18</v>
      </c>
      <c r="J301" s="33">
        <v>46.6</v>
      </c>
      <c r="K301" s="37">
        <v>3755.18</v>
      </c>
      <c r="L301" s="55">
        <f>J301/K301</f>
        <v>0.012409524976166257</v>
      </c>
      <c r="M301" s="29">
        <v>314.4</v>
      </c>
      <c r="N301" s="57">
        <f>L301*M301</f>
        <v>3.901554652506671</v>
      </c>
      <c r="O301" s="57">
        <f>L301*60*1000</f>
        <v>744.5714985699753</v>
      </c>
      <c r="P301" s="56">
        <f>O301*M301/1000</f>
        <v>234.09327915040024</v>
      </c>
      <c r="Q301" s="11"/>
      <c r="R301" s="10"/>
      <c r="S301" s="10"/>
    </row>
    <row r="302" spans="1:19" s="9" customFormat="1" ht="12.75" customHeight="1">
      <c r="A302" s="271"/>
      <c r="B302" s="54" t="s">
        <v>801</v>
      </c>
      <c r="C302" s="27">
        <v>20</v>
      </c>
      <c r="D302" s="27" t="s">
        <v>24</v>
      </c>
      <c r="E302" s="33">
        <f>F302+G302+H302</f>
        <v>20.161</v>
      </c>
      <c r="F302" s="33">
        <v>2.756</v>
      </c>
      <c r="G302" s="33">
        <v>3.2</v>
      </c>
      <c r="H302" s="33">
        <v>14.205</v>
      </c>
      <c r="I302" s="37">
        <v>1143.7</v>
      </c>
      <c r="J302" s="33">
        <v>14.205</v>
      </c>
      <c r="K302" s="37">
        <v>1143.7</v>
      </c>
      <c r="L302" s="55">
        <f>J302/K302</f>
        <v>0.012420215091370115</v>
      </c>
      <c r="M302" s="29">
        <v>351.85</v>
      </c>
      <c r="N302" s="57">
        <f>L302*M302</f>
        <v>4.370052679898575</v>
      </c>
      <c r="O302" s="57">
        <f>L302*60*1000</f>
        <v>745.2129054822069</v>
      </c>
      <c r="P302" s="56">
        <f>O302*M302/1000</f>
        <v>262.2031607939145</v>
      </c>
      <c r="R302" s="10"/>
      <c r="S302" s="10"/>
    </row>
    <row r="303" spans="1:19" s="9" customFormat="1" ht="12.75">
      <c r="A303" s="271"/>
      <c r="B303" s="54" t="s">
        <v>122</v>
      </c>
      <c r="C303" s="27">
        <v>64</v>
      </c>
      <c r="D303" s="27">
        <v>1971</v>
      </c>
      <c r="E303" s="33">
        <f>F303+G303+H303</f>
        <v>53.709999999999994</v>
      </c>
      <c r="F303" s="33">
        <v>4.67</v>
      </c>
      <c r="G303" s="33">
        <v>10.24</v>
      </c>
      <c r="H303" s="33">
        <v>38.8</v>
      </c>
      <c r="I303" s="37">
        <v>3220.36</v>
      </c>
      <c r="J303" s="33">
        <v>38.8</v>
      </c>
      <c r="K303" s="37">
        <v>3121</v>
      </c>
      <c r="L303" s="55">
        <f>J303/K303</f>
        <v>0.01243191284844601</v>
      </c>
      <c r="M303" s="29">
        <v>314.4</v>
      </c>
      <c r="N303" s="57">
        <f>L303*M303</f>
        <v>3.908593399551425</v>
      </c>
      <c r="O303" s="57">
        <f>L303*60*1000</f>
        <v>745.9147709067606</v>
      </c>
      <c r="P303" s="56">
        <f>O303*M303/1000</f>
        <v>234.51560397308552</v>
      </c>
      <c r="R303" s="10"/>
      <c r="S303" s="10"/>
    </row>
    <row r="304" spans="1:19" s="9" customFormat="1" ht="12.75">
      <c r="A304" s="271"/>
      <c r="B304" s="54" t="s">
        <v>702</v>
      </c>
      <c r="C304" s="27">
        <v>45</v>
      </c>
      <c r="D304" s="27" t="s">
        <v>24</v>
      </c>
      <c r="E304" s="33">
        <v>39.52</v>
      </c>
      <c r="F304" s="33">
        <v>3.32</v>
      </c>
      <c r="G304" s="33">
        <v>7.2</v>
      </c>
      <c r="H304" s="33">
        <v>29</v>
      </c>
      <c r="I304" s="37">
        <v>2324</v>
      </c>
      <c r="J304" s="33">
        <v>29</v>
      </c>
      <c r="K304" s="37">
        <v>2324</v>
      </c>
      <c r="L304" s="55">
        <f>J304/K304</f>
        <v>0.012478485370051634</v>
      </c>
      <c r="M304" s="29">
        <v>234.2</v>
      </c>
      <c r="N304" s="57">
        <f>L304*M304</f>
        <v>2.9224612736660927</v>
      </c>
      <c r="O304" s="57">
        <f>L304*60*1000</f>
        <v>748.709122203098</v>
      </c>
      <c r="P304" s="56">
        <f>O304*M304/1000</f>
        <v>175.34767641996555</v>
      </c>
      <c r="R304" s="10"/>
      <c r="S304" s="10"/>
    </row>
    <row r="305" spans="1:19" s="9" customFormat="1" ht="12.75">
      <c r="A305" s="271"/>
      <c r="B305" s="43" t="s">
        <v>483</v>
      </c>
      <c r="C305" s="24">
        <v>60</v>
      </c>
      <c r="D305" s="24" t="s">
        <v>24</v>
      </c>
      <c r="E305" s="74">
        <f>SUM(F305:H305)</f>
        <v>42.7</v>
      </c>
      <c r="F305" s="74">
        <v>2.83</v>
      </c>
      <c r="G305" s="74">
        <v>9.78</v>
      </c>
      <c r="H305" s="74">
        <v>30.09</v>
      </c>
      <c r="I305" s="32">
        <v>2404.54</v>
      </c>
      <c r="J305" s="74">
        <v>30.09</v>
      </c>
      <c r="K305" s="32">
        <v>2404.54</v>
      </c>
      <c r="L305" s="55">
        <f>J305/K305</f>
        <v>0.012513828008683574</v>
      </c>
      <c r="M305" s="29">
        <v>206.1</v>
      </c>
      <c r="N305" s="57">
        <f>L305*M305</f>
        <v>2.5790999525896847</v>
      </c>
      <c r="O305" s="57">
        <f>L305*60*1000</f>
        <v>750.8296805210144</v>
      </c>
      <c r="P305" s="56">
        <f>O305*M305/1000</f>
        <v>154.74599715538108</v>
      </c>
      <c r="R305" s="10"/>
      <c r="S305" s="10"/>
    </row>
    <row r="306" spans="1:19" s="9" customFormat="1" ht="12.75">
      <c r="A306" s="271"/>
      <c r="B306" s="54" t="s">
        <v>830</v>
      </c>
      <c r="C306" s="27">
        <v>12</v>
      </c>
      <c r="D306" s="27">
        <v>1985</v>
      </c>
      <c r="E306" s="33">
        <v>11.5</v>
      </c>
      <c r="F306" s="33">
        <v>0.9</v>
      </c>
      <c r="G306" s="33">
        <v>1.9</v>
      </c>
      <c r="H306" s="33">
        <v>8.6</v>
      </c>
      <c r="I306" s="82" t="s">
        <v>827</v>
      </c>
      <c r="J306" s="33">
        <v>8.6</v>
      </c>
      <c r="K306" s="37">
        <v>686.3</v>
      </c>
      <c r="L306" s="55">
        <f>J306/K306</f>
        <v>0.012530963135654962</v>
      </c>
      <c r="M306" s="29">
        <v>346.4</v>
      </c>
      <c r="N306" s="57">
        <f>L306*M306</f>
        <v>4.340725630190879</v>
      </c>
      <c r="O306" s="57">
        <f>L306*60*1000</f>
        <v>751.8577881392977</v>
      </c>
      <c r="P306" s="56">
        <f>O306*M306/1000</f>
        <v>260.4435378114527</v>
      </c>
      <c r="R306" s="10"/>
      <c r="S306" s="10"/>
    </row>
    <row r="307" spans="1:19" s="9" customFormat="1" ht="12.75" customHeight="1">
      <c r="A307" s="271"/>
      <c r="B307" s="43" t="s">
        <v>986</v>
      </c>
      <c r="C307" s="24">
        <v>6</v>
      </c>
      <c r="D307" s="24">
        <v>1985</v>
      </c>
      <c r="E307" s="74">
        <v>6.6</v>
      </c>
      <c r="F307" s="74">
        <v>0.51</v>
      </c>
      <c r="G307" s="74">
        <v>1.12</v>
      </c>
      <c r="H307" s="74">
        <v>4.97</v>
      </c>
      <c r="I307" s="32">
        <v>396</v>
      </c>
      <c r="J307" s="74">
        <v>4.97</v>
      </c>
      <c r="K307" s="32">
        <v>396</v>
      </c>
      <c r="L307" s="44">
        <f>H307/K307</f>
        <v>0.01255050505050505</v>
      </c>
      <c r="M307" s="26">
        <v>228.46</v>
      </c>
      <c r="N307" s="26">
        <f>L307*M307</f>
        <v>2.8672883838383836</v>
      </c>
      <c r="O307" s="26">
        <f>L307*60*1000</f>
        <v>753.0303030303029</v>
      </c>
      <c r="P307" s="45">
        <f>N307*60</f>
        <v>172.037303030303</v>
      </c>
      <c r="R307" s="10"/>
      <c r="S307" s="10"/>
    </row>
    <row r="308" spans="1:19" s="9" customFormat="1" ht="12.75">
      <c r="A308" s="271"/>
      <c r="B308" s="54" t="s">
        <v>108</v>
      </c>
      <c r="C308" s="27">
        <v>19</v>
      </c>
      <c r="D308" s="27">
        <v>1984</v>
      </c>
      <c r="E308" s="33">
        <v>17.541</v>
      </c>
      <c r="F308" s="33">
        <v>1.887</v>
      </c>
      <c r="G308" s="33">
        <v>3.04</v>
      </c>
      <c r="H308" s="33">
        <v>12.614</v>
      </c>
      <c r="I308" s="37">
        <v>1053.81</v>
      </c>
      <c r="J308" s="33">
        <v>12.49</v>
      </c>
      <c r="K308" s="37">
        <v>994.89</v>
      </c>
      <c r="L308" s="55">
        <f>J308/K308</f>
        <v>0.012554151715265005</v>
      </c>
      <c r="M308" s="29">
        <v>338.118</v>
      </c>
      <c r="N308" s="57">
        <f>L308*M308</f>
        <v>4.244784669661973</v>
      </c>
      <c r="O308" s="57">
        <f>L308*60*1000</f>
        <v>753.2491029159003</v>
      </c>
      <c r="P308" s="56">
        <f>O308*M308/1000</f>
        <v>254.68708017971835</v>
      </c>
      <c r="R308" s="10"/>
      <c r="S308" s="10"/>
    </row>
    <row r="309" spans="1:19" s="9" customFormat="1" ht="12.75">
      <c r="A309" s="271"/>
      <c r="B309" s="54" t="s">
        <v>571</v>
      </c>
      <c r="C309" s="27">
        <v>90</v>
      </c>
      <c r="D309" s="27">
        <v>1980</v>
      </c>
      <c r="E309" s="33">
        <v>83.31063</v>
      </c>
      <c r="F309" s="33">
        <v>16.54889</v>
      </c>
      <c r="G309" s="33">
        <v>9</v>
      </c>
      <c r="H309" s="33">
        <f>E309-F309-G309</f>
        <v>57.76174</v>
      </c>
      <c r="I309" s="37">
        <v>4599.25</v>
      </c>
      <c r="J309" s="33">
        <f>H309</f>
        <v>57.76174</v>
      </c>
      <c r="K309" s="37">
        <f>I309</f>
        <v>4599.25</v>
      </c>
      <c r="L309" s="55">
        <f>J309/K309</f>
        <v>0.012558947654508887</v>
      </c>
      <c r="M309" s="29">
        <v>279.5</v>
      </c>
      <c r="N309" s="57">
        <f>L309*M309</f>
        <v>3.510225869435234</v>
      </c>
      <c r="O309" s="57">
        <f>L309*60*1000</f>
        <v>753.5368592705332</v>
      </c>
      <c r="P309" s="56">
        <f>O309*M309/1000</f>
        <v>210.61355216611403</v>
      </c>
      <c r="R309" s="10"/>
      <c r="S309" s="10"/>
    </row>
    <row r="310" spans="1:19" s="9" customFormat="1" ht="12.75">
      <c r="A310" s="271"/>
      <c r="B310" s="54" t="s">
        <v>831</v>
      </c>
      <c r="C310" s="27">
        <v>12</v>
      </c>
      <c r="D310" s="27" t="s">
        <v>24</v>
      </c>
      <c r="E310" s="33">
        <v>12</v>
      </c>
      <c r="F310" s="33">
        <v>1.636</v>
      </c>
      <c r="G310" s="33">
        <v>1.92</v>
      </c>
      <c r="H310" s="33">
        <v>8.44</v>
      </c>
      <c r="I310" s="82" t="s">
        <v>827</v>
      </c>
      <c r="J310" s="33">
        <v>8.44</v>
      </c>
      <c r="K310" s="37">
        <v>670.29</v>
      </c>
      <c r="L310" s="55">
        <f>J310/K310</f>
        <v>0.012591564845067061</v>
      </c>
      <c r="M310" s="29">
        <v>346.4</v>
      </c>
      <c r="N310" s="57">
        <f>L310*M310</f>
        <v>4.36171806233123</v>
      </c>
      <c r="O310" s="57">
        <f>L310*60*1000</f>
        <v>755.4938907040237</v>
      </c>
      <c r="P310" s="56">
        <f>O310*M310/1000</f>
        <v>261.70308373987376</v>
      </c>
      <c r="R310" s="10"/>
      <c r="S310" s="10"/>
    </row>
    <row r="311" spans="1:19" s="9" customFormat="1" ht="12.75" customHeight="1">
      <c r="A311" s="271"/>
      <c r="B311" s="54" t="s">
        <v>204</v>
      </c>
      <c r="C311" s="27">
        <v>30</v>
      </c>
      <c r="D311" s="27">
        <v>1988</v>
      </c>
      <c r="E311" s="33">
        <f>F311+G311+H311</f>
        <v>28.369999999999997</v>
      </c>
      <c r="F311" s="33">
        <v>2.85</v>
      </c>
      <c r="G311" s="33">
        <v>4.8</v>
      </c>
      <c r="H311" s="33">
        <v>20.72</v>
      </c>
      <c r="I311" s="37">
        <v>1645.25</v>
      </c>
      <c r="J311" s="33">
        <v>20.72</v>
      </c>
      <c r="K311" s="37">
        <v>1645.25</v>
      </c>
      <c r="L311" s="55">
        <f>J311/K311</f>
        <v>0.012593830724813857</v>
      </c>
      <c r="M311" s="29">
        <v>314.4</v>
      </c>
      <c r="N311" s="57">
        <f>L311*M311</f>
        <v>3.9595003798814763</v>
      </c>
      <c r="O311" s="57">
        <f>L311*60*1000</f>
        <v>755.6298434888314</v>
      </c>
      <c r="P311" s="56">
        <f>O311*M311/1000</f>
        <v>237.57002279288858</v>
      </c>
      <c r="R311" s="10"/>
      <c r="S311" s="10"/>
    </row>
    <row r="312" spans="1:19" s="9" customFormat="1" ht="12.75">
      <c r="A312" s="271"/>
      <c r="B312" s="54" t="s">
        <v>832</v>
      </c>
      <c r="C312" s="27">
        <v>22</v>
      </c>
      <c r="D312" s="27">
        <v>1991</v>
      </c>
      <c r="E312" s="33">
        <v>19.7</v>
      </c>
      <c r="F312" s="33">
        <v>1.416</v>
      </c>
      <c r="G312" s="33">
        <v>3.52</v>
      </c>
      <c r="H312" s="33">
        <v>14.764</v>
      </c>
      <c r="I312" s="82" t="s">
        <v>827</v>
      </c>
      <c r="J312" s="33">
        <v>14.764</v>
      </c>
      <c r="K312" s="37">
        <v>1170.08</v>
      </c>
      <c r="L312" s="55">
        <f>J312/K312</f>
        <v>0.01261794065363052</v>
      </c>
      <c r="M312" s="29">
        <v>346.4</v>
      </c>
      <c r="N312" s="57">
        <f>L312*M312</f>
        <v>4.370854642417612</v>
      </c>
      <c r="O312" s="57">
        <f>L312*60*1000</f>
        <v>757.0764392178312</v>
      </c>
      <c r="P312" s="56">
        <f>O312*M312/1000</f>
        <v>262.2512785450567</v>
      </c>
      <c r="R312" s="10"/>
      <c r="S312" s="10"/>
    </row>
    <row r="313" spans="1:19" s="9" customFormat="1" ht="12.75">
      <c r="A313" s="271"/>
      <c r="B313" s="54" t="s">
        <v>765</v>
      </c>
      <c r="C313" s="27">
        <v>32</v>
      </c>
      <c r="D313" s="27"/>
      <c r="E313" s="33">
        <v>26</v>
      </c>
      <c r="F313" s="33">
        <v>4.33</v>
      </c>
      <c r="G313" s="33">
        <v>0.32</v>
      </c>
      <c r="H313" s="33">
        <v>21.4</v>
      </c>
      <c r="I313" s="37">
        <v>1692.62</v>
      </c>
      <c r="J313" s="33">
        <v>21.4</v>
      </c>
      <c r="K313" s="37">
        <v>1692.6</v>
      </c>
      <c r="L313" s="55">
        <f>J313/K313</f>
        <v>0.012643270707786836</v>
      </c>
      <c r="M313" s="29">
        <v>224.1</v>
      </c>
      <c r="N313" s="57">
        <f>L313*M313</f>
        <v>2.83335696561503</v>
      </c>
      <c r="O313" s="57">
        <f>L313*60*1000</f>
        <v>758.5962424672101</v>
      </c>
      <c r="P313" s="56">
        <f>O313*M313/1000</f>
        <v>170.0014179369018</v>
      </c>
      <c r="R313" s="10"/>
      <c r="S313" s="10"/>
    </row>
    <row r="314" spans="1:19" s="9" customFormat="1" ht="12.75" customHeight="1">
      <c r="A314" s="271"/>
      <c r="B314" s="43" t="s">
        <v>377</v>
      </c>
      <c r="C314" s="24">
        <v>40</v>
      </c>
      <c r="D314" s="24">
        <v>1980</v>
      </c>
      <c r="E314" s="74">
        <f>SUM(F314+G314+H314)</f>
        <v>39.1</v>
      </c>
      <c r="F314" s="74">
        <v>3.4</v>
      </c>
      <c r="G314" s="74">
        <v>6.4</v>
      </c>
      <c r="H314" s="74">
        <v>29.3</v>
      </c>
      <c r="I314" s="32">
        <v>2313.6</v>
      </c>
      <c r="J314" s="74">
        <v>29.3</v>
      </c>
      <c r="K314" s="32">
        <v>2313.6</v>
      </c>
      <c r="L314" s="44">
        <f>SUM(J314/K314)</f>
        <v>0.012664246196403873</v>
      </c>
      <c r="M314" s="26">
        <v>215.8</v>
      </c>
      <c r="N314" s="26">
        <f>SUM(L314*M314)</f>
        <v>2.732944329183956</v>
      </c>
      <c r="O314" s="26">
        <f>L314*60*1000</f>
        <v>759.8547717842323</v>
      </c>
      <c r="P314" s="45">
        <f>SUM(N314*60)</f>
        <v>163.97665975103735</v>
      </c>
      <c r="R314" s="10"/>
      <c r="S314" s="10"/>
    </row>
    <row r="315" spans="1:19" s="9" customFormat="1" ht="12.75" customHeight="1">
      <c r="A315" s="271"/>
      <c r="B315" s="54" t="s">
        <v>314</v>
      </c>
      <c r="C315" s="27">
        <v>45</v>
      </c>
      <c r="D315" s="27">
        <v>1984</v>
      </c>
      <c r="E315" s="33">
        <f>F315+G315+H315</f>
        <v>39.85</v>
      </c>
      <c r="F315" s="33">
        <v>3.03</v>
      </c>
      <c r="G315" s="33">
        <v>7.2</v>
      </c>
      <c r="H315" s="33">
        <v>29.62</v>
      </c>
      <c r="I315" s="37">
        <v>2330.45</v>
      </c>
      <c r="J315" s="33">
        <v>29.62</v>
      </c>
      <c r="K315" s="37">
        <v>2330.45</v>
      </c>
      <c r="L315" s="55">
        <f>J315/K315</f>
        <v>0.012709991632517327</v>
      </c>
      <c r="M315" s="29">
        <v>314.4</v>
      </c>
      <c r="N315" s="57">
        <f>L315*M315</f>
        <v>3.996021369263447</v>
      </c>
      <c r="O315" s="57">
        <f>L315*60*1000</f>
        <v>762.5994979510397</v>
      </c>
      <c r="P315" s="56">
        <f>O315*M315/1000</f>
        <v>239.76128215580687</v>
      </c>
      <c r="R315" s="10"/>
      <c r="S315" s="10"/>
    </row>
    <row r="316" spans="1:19" s="9" customFormat="1" ht="12.75">
      <c r="A316" s="271"/>
      <c r="B316" s="54" t="s">
        <v>736</v>
      </c>
      <c r="C316" s="27">
        <v>48</v>
      </c>
      <c r="D316" s="27">
        <v>1961</v>
      </c>
      <c r="E316" s="33">
        <v>41.37</v>
      </c>
      <c r="F316" s="33">
        <v>3.26</v>
      </c>
      <c r="G316" s="33">
        <v>7.68</v>
      </c>
      <c r="H316" s="33">
        <v>30.43</v>
      </c>
      <c r="I316" s="230"/>
      <c r="J316" s="33">
        <f>H316</f>
        <v>30.43</v>
      </c>
      <c r="K316" s="37">
        <v>2393</v>
      </c>
      <c r="L316" s="55">
        <f>J316/K316</f>
        <v>0.012716255745925616</v>
      </c>
      <c r="M316" s="29">
        <v>187.69</v>
      </c>
      <c r="N316" s="57">
        <f>L316*M316</f>
        <v>2.386714040952779</v>
      </c>
      <c r="O316" s="57">
        <f>L316*60*1000</f>
        <v>762.975344755537</v>
      </c>
      <c r="P316" s="56">
        <f>O316*M316/1000</f>
        <v>143.20284245716672</v>
      </c>
      <c r="R316" s="10"/>
      <c r="S316" s="10"/>
    </row>
    <row r="317" spans="1:19" s="9" customFormat="1" ht="12.75">
      <c r="A317" s="271"/>
      <c r="B317" s="54" t="s">
        <v>802</v>
      </c>
      <c r="C317" s="27">
        <v>24</v>
      </c>
      <c r="D317" s="27" t="s">
        <v>24</v>
      </c>
      <c r="E317" s="33">
        <f>F317+G317+H317</f>
        <v>18.119</v>
      </c>
      <c r="F317" s="33">
        <v>1.845</v>
      </c>
      <c r="G317" s="33">
        <v>3.92</v>
      </c>
      <c r="H317" s="33">
        <v>12.354</v>
      </c>
      <c r="I317" s="37">
        <v>1242.07</v>
      </c>
      <c r="J317" s="33">
        <v>11.498</v>
      </c>
      <c r="K317" s="37">
        <v>903.24</v>
      </c>
      <c r="L317" s="55">
        <f>J317/K317</f>
        <v>0.01272972853283734</v>
      </c>
      <c r="M317" s="29">
        <v>351.85</v>
      </c>
      <c r="N317" s="57">
        <f>L317*M317</f>
        <v>4.478954984278818</v>
      </c>
      <c r="O317" s="57">
        <f>L317*60*1000</f>
        <v>763.7837119702405</v>
      </c>
      <c r="P317" s="56">
        <f>O317*M317/1000</f>
        <v>268.7372990567291</v>
      </c>
      <c r="R317" s="10"/>
      <c r="S317" s="10"/>
    </row>
    <row r="318" spans="1:19" s="9" customFormat="1" ht="11.25" customHeight="1">
      <c r="A318" s="271"/>
      <c r="B318" s="54" t="s">
        <v>833</v>
      </c>
      <c r="C318" s="27">
        <v>28</v>
      </c>
      <c r="D318" s="27">
        <v>1985</v>
      </c>
      <c r="E318" s="33">
        <v>21.395</v>
      </c>
      <c r="F318" s="33">
        <v>1.812</v>
      </c>
      <c r="G318" s="33">
        <v>4.48</v>
      </c>
      <c r="H318" s="33">
        <v>15.103</v>
      </c>
      <c r="I318" s="82" t="s">
        <v>827</v>
      </c>
      <c r="J318" s="33">
        <v>15.103</v>
      </c>
      <c r="K318" s="37">
        <v>1186.16</v>
      </c>
      <c r="L318" s="55">
        <f>J318/K318</f>
        <v>0.01273268361772442</v>
      </c>
      <c r="M318" s="29">
        <v>346.4</v>
      </c>
      <c r="N318" s="57">
        <f>L318*M318</f>
        <v>4.410601605179739</v>
      </c>
      <c r="O318" s="57">
        <f>L318*60*1000</f>
        <v>763.9610170634652</v>
      </c>
      <c r="P318" s="56">
        <f>O318*M318/1000</f>
        <v>264.63609631078435</v>
      </c>
      <c r="R318" s="10"/>
      <c r="S318" s="10"/>
    </row>
    <row r="319" spans="1:19" s="9" customFormat="1" ht="12.75" customHeight="1">
      <c r="A319" s="271"/>
      <c r="B319" s="54" t="s">
        <v>894</v>
      </c>
      <c r="C319" s="27">
        <v>36</v>
      </c>
      <c r="D319" s="27" t="s">
        <v>892</v>
      </c>
      <c r="E319" s="33">
        <v>39.782</v>
      </c>
      <c r="F319" s="33">
        <v>4.493</v>
      </c>
      <c r="G319" s="33">
        <v>5.76</v>
      </c>
      <c r="H319" s="33">
        <v>29.529</v>
      </c>
      <c r="I319" s="257"/>
      <c r="J319" s="33">
        <v>29.529</v>
      </c>
      <c r="K319" s="37">
        <v>2319.07</v>
      </c>
      <c r="L319" s="55">
        <f>J319/K319</f>
        <v>0.012733121466794879</v>
      </c>
      <c r="M319" s="29">
        <v>276.97</v>
      </c>
      <c r="N319" s="57">
        <f>L319*M319</f>
        <v>3.526692652658178</v>
      </c>
      <c r="O319" s="57">
        <f>L319*60*1000</f>
        <v>763.9872880076928</v>
      </c>
      <c r="P319" s="56">
        <f>O319*M319/1000</f>
        <v>211.60155915949068</v>
      </c>
      <c r="Q319" s="11"/>
      <c r="R319" s="10"/>
      <c r="S319" s="10"/>
    </row>
    <row r="320" spans="1:19" s="9" customFormat="1" ht="12.75" customHeight="1">
      <c r="A320" s="271"/>
      <c r="B320" s="54" t="s">
        <v>468</v>
      </c>
      <c r="C320" s="27">
        <v>30</v>
      </c>
      <c r="D320" s="27">
        <v>1970</v>
      </c>
      <c r="E320" s="33">
        <v>30</v>
      </c>
      <c r="F320" s="33">
        <v>3.16</v>
      </c>
      <c r="G320" s="33">
        <v>4.8</v>
      </c>
      <c r="H320" s="33">
        <v>22</v>
      </c>
      <c r="I320" s="230"/>
      <c r="J320" s="33">
        <f>H320</f>
        <v>22</v>
      </c>
      <c r="K320" s="37">
        <v>1727</v>
      </c>
      <c r="L320" s="55">
        <f>J320/K320</f>
        <v>0.012738853503184714</v>
      </c>
      <c r="M320" s="29">
        <v>187.69</v>
      </c>
      <c r="N320" s="57">
        <f>L320*M320</f>
        <v>2.390955414012739</v>
      </c>
      <c r="O320" s="57">
        <f>L320*60*1000</f>
        <v>764.3312101910828</v>
      </c>
      <c r="P320" s="56">
        <f>O320*M320/1000</f>
        <v>143.45732484076433</v>
      </c>
      <c r="Q320" s="11"/>
      <c r="R320" s="10"/>
      <c r="S320" s="10"/>
    </row>
    <row r="321" spans="1:19" s="9" customFormat="1" ht="12.75" customHeight="1">
      <c r="A321" s="271"/>
      <c r="B321" s="54" t="s">
        <v>411</v>
      </c>
      <c r="C321" s="27">
        <v>48</v>
      </c>
      <c r="D321" s="27">
        <v>1961</v>
      </c>
      <c r="E321" s="33">
        <v>40.94</v>
      </c>
      <c r="F321" s="33">
        <v>3.93</v>
      </c>
      <c r="G321" s="33">
        <v>7.68</v>
      </c>
      <c r="H321" s="33">
        <v>29.3</v>
      </c>
      <c r="I321" s="230"/>
      <c r="J321" s="33">
        <f>H321</f>
        <v>29.3</v>
      </c>
      <c r="K321" s="37">
        <v>2296</v>
      </c>
      <c r="L321" s="55">
        <f>J321/K321</f>
        <v>0.012761324041811847</v>
      </c>
      <c r="M321" s="29">
        <v>187.69</v>
      </c>
      <c r="N321" s="57">
        <f>L321*M321</f>
        <v>2.3951729094076653</v>
      </c>
      <c r="O321" s="57">
        <f>L321*60*1000</f>
        <v>765.6794425087107</v>
      </c>
      <c r="P321" s="56">
        <f>O321*M321/1000</f>
        <v>143.71037456445993</v>
      </c>
      <c r="R321" s="10"/>
      <c r="S321" s="10"/>
    </row>
    <row r="322" spans="1:19" s="9" customFormat="1" ht="12.75" customHeight="1">
      <c r="A322" s="271"/>
      <c r="B322" s="43" t="s">
        <v>787</v>
      </c>
      <c r="C322" s="24">
        <v>45</v>
      </c>
      <c r="D322" s="24" t="s">
        <v>24</v>
      </c>
      <c r="E322" s="74">
        <f>SUM(F322:H322)</f>
        <v>41.1</v>
      </c>
      <c r="F322" s="74">
        <v>3.67</v>
      </c>
      <c r="G322" s="74">
        <v>7.34</v>
      </c>
      <c r="H322" s="74">
        <v>30.09</v>
      </c>
      <c r="I322" s="32">
        <v>2356.23</v>
      </c>
      <c r="J322" s="74">
        <v>30.09</v>
      </c>
      <c r="K322" s="32">
        <v>2356.23</v>
      </c>
      <c r="L322" s="55">
        <f>J322/K322</f>
        <v>0.012770400173157968</v>
      </c>
      <c r="M322" s="29">
        <v>206.1</v>
      </c>
      <c r="N322" s="57">
        <f>L322*M322</f>
        <v>2.6319794756878574</v>
      </c>
      <c r="O322" s="57">
        <f>L322*60*1000</f>
        <v>766.224010389478</v>
      </c>
      <c r="P322" s="56">
        <f>O322*M322/1000</f>
        <v>157.91876854127142</v>
      </c>
      <c r="R322" s="10"/>
      <c r="S322" s="10"/>
    </row>
    <row r="323" spans="1:19" s="9" customFormat="1" ht="12.75" customHeight="1">
      <c r="A323" s="271"/>
      <c r="B323" s="54" t="s">
        <v>662</v>
      </c>
      <c r="C323" s="27">
        <v>45</v>
      </c>
      <c r="D323" s="27">
        <v>1987</v>
      </c>
      <c r="E323" s="33">
        <f>F323+G323+H323</f>
        <v>41.7</v>
      </c>
      <c r="F323" s="33">
        <v>4.59</v>
      </c>
      <c r="G323" s="33">
        <v>7.2</v>
      </c>
      <c r="H323" s="33">
        <v>29.91</v>
      </c>
      <c r="I323" s="37">
        <v>2339.68</v>
      </c>
      <c r="J323" s="33">
        <v>29.91</v>
      </c>
      <c r="K323" s="37">
        <v>2339.68</v>
      </c>
      <c r="L323" s="55">
        <f>J323/K323</f>
        <v>0.012783799493947891</v>
      </c>
      <c r="M323" s="29">
        <v>314.4</v>
      </c>
      <c r="N323" s="57">
        <f>L323*M323</f>
        <v>4.019226560897216</v>
      </c>
      <c r="O323" s="57">
        <f>L323*60*1000</f>
        <v>767.0279696368734</v>
      </c>
      <c r="P323" s="56">
        <f>O323*M323/1000</f>
        <v>241.15359365383298</v>
      </c>
      <c r="R323" s="10"/>
      <c r="S323" s="10"/>
    </row>
    <row r="324" spans="1:19" s="9" customFormat="1" ht="12.75" customHeight="1">
      <c r="A324" s="271"/>
      <c r="B324" s="54" t="s">
        <v>737</v>
      </c>
      <c r="C324" s="27">
        <v>48</v>
      </c>
      <c r="D324" s="27">
        <v>1964</v>
      </c>
      <c r="E324" s="33">
        <v>41.38</v>
      </c>
      <c r="F324" s="33">
        <v>4.2</v>
      </c>
      <c r="G324" s="33">
        <v>7.68</v>
      </c>
      <c r="H324" s="33">
        <v>29.42</v>
      </c>
      <c r="I324" s="230"/>
      <c r="J324" s="33">
        <f>H324</f>
        <v>29.42</v>
      </c>
      <c r="K324" s="37">
        <v>2296</v>
      </c>
      <c r="L324" s="55">
        <f>J324/K324</f>
        <v>0.012813588850174217</v>
      </c>
      <c r="M324" s="29">
        <v>187.69</v>
      </c>
      <c r="N324" s="57">
        <f>L324*M324</f>
        <v>2.4049824912891986</v>
      </c>
      <c r="O324" s="57">
        <f>L324*60*1000</f>
        <v>768.815331010453</v>
      </c>
      <c r="P324" s="56">
        <f>O324*M324/1000</f>
        <v>144.2989494773519</v>
      </c>
      <c r="R324" s="10"/>
      <c r="S324" s="10"/>
    </row>
    <row r="325" spans="1:19" s="9" customFormat="1" ht="12.75" customHeight="1">
      <c r="A325" s="271"/>
      <c r="B325" s="54" t="s">
        <v>834</v>
      </c>
      <c r="C325" s="27">
        <v>20</v>
      </c>
      <c r="D325" s="27">
        <v>1995</v>
      </c>
      <c r="E325" s="33">
        <v>20.5</v>
      </c>
      <c r="F325" s="33">
        <v>3.086</v>
      </c>
      <c r="G325" s="33">
        <v>3.2</v>
      </c>
      <c r="H325" s="33">
        <v>14.213</v>
      </c>
      <c r="I325" s="82" t="s">
        <v>827</v>
      </c>
      <c r="J325" s="33">
        <v>14.213</v>
      </c>
      <c r="K325" s="37">
        <v>1108.2</v>
      </c>
      <c r="L325" s="55">
        <f>J325/K325</f>
        <v>0.012825302292005052</v>
      </c>
      <c r="M325" s="29">
        <v>346.4</v>
      </c>
      <c r="N325" s="57">
        <f>L325*M325</f>
        <v>4.44268471395055</v>
      </c>
      <c r="O325" s="57">
        <f>L325*60*1000</f>
        <v>769.5181375203032</v>
      </c>
      <c r="P325" s="56">
        <f>O325*M325/1000</f>
        <v>266.56108283703304</v>
      </c>
      <c r="R325" s="10"/>
      <c r="S325" s="10"/>
    </row>
    <row r="326" spans="1:19" s="9" customFormat="1" ht="12.75" customHeight="1">
      <c r="A326" s="271"/>
      <c r="B326" s="54" t="s">
        <v>316</v>
      </c>
      <c r="C326" s="27">
        <v>44</v>
      </c>
      <c r="D326" s="27">
        <v>1988</v>
      </c>
      <c r="E326" s="33">
        <f>F326+G326+H326</f>
        <v>40.75</v>
      </c>
      <c r="F326" s="33">
        <v>4.19</v>
      </c>
      <c r="G326" s="33">
        <v>7.04</v>
      </c>
      <c r="H326" s="33">
        <v>29.52</v>
      </c>
      <c r="I326" s="37">
        <v>2297.82</v>
      </c>
      <c r="J326" s="33">
        <v>29.52</v>
      </c>
      <c r="K326" s="37">
        <v>2297.82</v>
      </c>
      <c r="L326" s="55">
        <f>J326/K326</f>
        <v>0.012846959291850535</v>
      </c>
      <c r="M326" s="29">
        <v>314.4</v>
      </c>
      <c r="N326" s="57">
        <f>L326*M326</f>
        <v>4.039084001357808</v>
      </c>
      <c r="O326" s="57">
        <f>L326*60*1000</f>
        <v>770.8175575110321</v>
      </c>
      <c r="P326" s="56">
        <f>O326*M326/1000</f>
        <v>242.34504008146848</v>
      </c>
      <c r="R326" s="10"/>
      <c r="S326" s="10"/>
    </row>
    <row r="327" spans="1:19" s="9" customFormat="1" ht="12.75" customHeight="1">
      <c r="A327" s="271"/>
      <c r="B327" s="54" t="s">
        <v>252</v>
      </c>
      <c r="C327" s="27">
        <v>25</v>
      </c>
      <c r="D327" s="27" t="s">
        <v>24</v>
      </c>
      <c r="E327" s="33">
        <v>23.2</v>
      </c>
      <c r="F327" s="33">
        <f>46*0.051</f>
        <v>2.3459999999999996</v>
      </c>
      <c r="G327" s="33">
        <f>25*0.16</f>
        <v>4</v>
      </c>
      <c r="H327" s="33">
        <f>+E327-F327-G327</f>
        <v>16.854</v>
      </c>
      <c r="I327" s="230"/>
      <c r="J327" s="33">
        <f>+H327</f>
        <v>16.854</v>
      </c>
      <c r="K327" s="37">
        <v>1311.48</v>
      </c>
      <c r="L327" s="55">
        <f>J327/K327</f>
        <v>0.012851130021044925</v>
      </c>
      <c r="M327" s="29">
        <v>343.2</v>
      </c>
      <c r="N327" s="57">
        <f>L327*M327</f>
        <v>4.410507823222618</v>
      </c>
      <c r="O327" s="57">
        <f>L327*60*1000</f>
        <v>771.0678012626955</v>
      </c>
      <c r="P327" s="56">
        <f>O327*M327/1000</f>
        <v>264.6304693933571</v>
      </c>
      <c r="R327" s="10"/>
      <c r="S327" s="10"/>
    </row>
    <row r="328" spans="1:19" s="9" customFormat="1" ht="12.75">
      <c r="A328" s="271"/>
      <c r="B328" s="54" t="s">
        <v>703</v>
      </c>
      <c r="C328" s="27">
        <v>54</v>
      </c>
      <c r="D328" s="27" t="s">
        <v>24</v>
      </c>
      <c r="E328" s="33">
        <v>53.44</v>
      </c>
      <c r="F328" s="33">
        <v>6.37</v>
      </c>
      <c r="G328" s="33">
        <v>8.49</v>
      </c>
      <c r="H328" s="33">
        <v>38.58</v>
      </c>
      <c r="I328" s="37">
        <v>3002</v>
      </c>
      <c r="J328" s="33">
        <v>38.58</v>
      </c>
      <c r="K328" s="37">
        <v>3002</v>
      </c>
      <c r="L328" s="55">
        <f>J328/K328</f>
        <v>0.01285143237841439</v>
      </c>
      <c r="M328" s="29">
        <v>234.2</v>
      </c>
      <c r="N328" s="57">
        <f>L328*M328</f>
        <v>3.00980546302465</v>
      </c>
      <c r="O328" s="57">
        <f>L328*60*1000</f>
        <v>771.0859427048634</v>
      </c>
      <c r="P328" s="56">
        <f>O328*M328/1000</f>
        <v>180.58832778147902</v>
      </c>
      <c r="R328" s="10"/>
      <c r="S328" s="10"/>
    </row>
    <row r="329" spans="1:19" s="9" customFormat="1" ht="12.75" customHeight="1">
      <c r="A329" s="271"/>
      <c r="B329" s="54" t="s">
        <v>818</v>
      </c>
      <c r="C329" s="27">
        <v>18</v>
      </c>
      <c r="D329" s="27" t="s">
        <v>24</v>
      </c>
      <c r="E329" s="33">
        <v>16</v>
      </c>
      <c r="F329" s="33">
        <f>24.68*0.051</f>
        <v>1.2586799999999998</v>
      </c>
      <c r="G329" s="33">
        <f>19*0.16</f>
        <v>3.04</v>
      </c>
      <c r="H329" s="33">
        <f>+E329-F329-G329</f>
        <v>11.701319999999999</v>
      </c>
      <c r="I329" s="230"/>
      <c r="J329" s="33">
        <f>+H329</f>
        <v>11.701319999999999</v>
      </c>
      <c r="K329" s="37">
        <v>910.35</v>
      </c>
      <c r="L329" s="55">
        <f>J329/K329</f>
        <v>0.012853649695172185</v>
      </c>
      <c r="M329" s="29">
        <v>343.2</v>
      </c>
      <c r="N329" s="57">
        <f>L329*M329</f>
        <v>4.411372575383094</v>
      </c>
      <c r="O329" s="57">
        <f>L329*60*1000</f>
        <v>771.2189817103311</v>
      </c>
      <c r="P329" s="56">
        <f>O329*M329/1000</f>
        <v>264.68235452298563</v>
      </c>
      <c r="R329" s="10"/>
      <c r="S329" s="10"/>
    </row>
    <row r="330" spans="1:19" s="9" customFormat="1" ht="12.75">
      <c r="A330" s="271"/>
      <c r="B330" s="54" t="s">
        <v>312</v>
      </c>
      <c r="C330" s="27">
        <v>45</v>
      </c>
      <c r="D330" s="27">
        <v>1981</v>
      </c>
      <c r="E330" s="33">
        <f>F330+G330+H330</f>
        <v>39.7</v>
      </c>
      <c r="F330" s="33">
        <v>3.65</v>
      </c>
      <c r="G330" s="33">
        <v>7.12</v>
      </c>
      <c r="H330" s="33">
        <v>28.93</v>
      </c>
      <c r="I330" s="37">
        <v>2250.62</v>
      </c>
      <c r="J330" s="33">
        <v>28.93</v>
      </c>
      <c r="K330" s="37">
        <v>2250.62</v>
      </c>
      <c r="L330" s="55">
        <f>J330/K330</f>
        <v>0.01285423572171224</v>
      </c>
      <c r="M330" s="29">
        <v>314.4</v>
      </c>
      <c r="N330" s="57">
        <f>L330*M330</f>
        <v>4.041371710906328</v>
      </c>
      <c r="O330" s="57">
        <f>L330*60*1000</f>
        <v>771.2541433027344</v>
      </c>
      <c r="P330" s="56">
        <f>O330*M330/1000</f>
        <v>242.48230265437968</v>
      </c>
      <c r="R330" s="10"/>
      <c r="S330" s="10"/>
    </row>
    <row r="331" spans="1:19" s="9" customFormat="1" ht="12.75">
      <c r="A331" s="271"/>
      <c r="B331" s="54" t="s">
        <v>663</v>
      </c>
      <c r="C331" s="27">
        <v>35</v>
      </c>
      <c r="D331" s="27">
        <v>1973</v>
      </c>
      <c r="E331" s="33">
        <f>F331+G331+H331</f>
        <v>34.790000000000006</v>
      </c>
      <c r="F331" s="33">
        <v>4.16</v>
      </c>
      <c r="G331" s="33">
        <v>5.44</v>
      </c>
      <c r="H331" s="33">
        <v>25.19</v>
      </c>
      <c r="I331" s="37">
        <v>1951.8</v>
      </c>
      <c r="J331" s="33">
        <v>25.19</v>
      </c>
      <c r="K331" s="37">
        <v>1951.8</v>
      </c>
      <c r="L331" s="55">
        <f>J331/K331</f>
        <v>0.012906035454452302</v>
      </c>
      <c r="M331" s="29">
        <v>314.4</v>
      </c>
      <c r="N331" s="57">
        <f>L331*M331</f>
        <v>4.0576575468798035</v>
      </c>
      <c r="O331" s="57">
        <f>L331*60*1000</f>
        <v>774.3621272671381</v>
      </c>
      <c r="P331" s="56">
        <f>O331*M331/1000</f>
        <v>243.45945281278821</v>
      </c>
      <c r="R331" s="10"/>
      <c r="S331" s="10"/>
    </row>
    <row r="332" spans="1:19" s="9" customFormat="1" ht="12.75">
      <c r="A332" s="271"/>
      <c r="B332" s="54" t="s">
        <v>819</v>
      </c>
      <c r="C332" s="27">
        <v>7</v>
      </c>
      <c r="D332" s="27" t="s">
        <v>24</v>
      </c>
      <c r="E332" s="33">
        <v>5.7</v>
      </c>
      <c r="F332" s="33">
        <f>6*0.051</f>
        <v>0.306</v>
      </c>
      <c r="G332" s="33">
        <f>7*0.16</f>
        <v>1.12</v>
      </c>
      <c r="H332" s="33">
        <f>+E332-F332-G332</f>
        <v>4.274</v>
      </c>
      <c r="I332" s="230"/>
      <c r="J332" s="33">
        <f>+H332</f>
        <v>4.274</v>
      </c>
      <c r="K332" s="37">
        <v>330.84</v>
      </c>
      <c r="L332" s="55">
        <f>J332/K332</f>
        <v>0.01291863136259219</v>
      </c>
      <c r="M332" s="29">
        <v>343.2</v>
      </c>
      <c r="N332" s="57">
        <f>L332*M332</f>
        <v>4.43367428364164</v>
      </c>
      <c r="O332" s="57">
        <f>L332*60*1000</f>
        <v>775.1178817555315</v>
      </c>
      <c r="P332" s="56">
        <f>O332*M332/1000</f>
        <v>266.0204570184984</v>
      </c>
      <c r="R332" s="10"/>
      <c r="S332" s="10"/>
    </row>
    <row r="333" spans="1:19" s="9" customFormat="1" ht="12.75">
      <c r="A333" s="271"/>
      <c r="B333" s="54" t="s">
        <v>315</v>
      </c>
      <c r="C333" s="27">
        <v>41</v>
      </c>
      <c r="D333" s="27">
        <v>1988</v>
      </c>
      <c r="E333" s="33">
        <f>F333+G333+H333</f>
        <v>39.900000000000006</v>
      </c>
      <c r="F333" s="33">
        <v>4.08</v>
      </c>
      <c r="G333" s="33">
        <v>6.4</v>
      </c>
      <c r="H333" s="33">
        <v>29.42</v>
      </c>
      <c r="I333" s="37">
        <v>2275.45</v>
      </c>
      <c r="J333" s="33">
        <v>29.42</v>
      </c>
      <c r="K333" s="37">
        <v>2275.45</v>
      </c>
      <c r="L333" s="55">
        <f>J333/K333</f>
        <v>0.012929310685798416</v>
      </c>
      <c r="M333" s="29">
        <v>314.4</v>
      </c>
      <c r="N333" s="57">
        <f>L333*M333</f>
        <v>4.064975279615021</v>
      </c>
      <c r="O333" s="57">
        <f>L333*60*1000</f>
        <v>775.7586411479049</v>
      </c>
      <c r="P333" s="56">
        <f>O333*M333/1000</f>
        <v>243.8985167769013</v>
      </c>
      <c r="R333" s="10"/>
      <c r="S333" s="10"/>
    </row>
    <row r="334" spans="1:19" s="9" customFormat="1" ht="12.75">
      <c r="A334" s="271"/>
      <c r="B334" s="54" t="s">
        <v>664</v>
      </c>
      <c r="C334" s="27">
        <v>60</v>
      </c>
      <c r="D334" s="27">
        <v>1989</v>
      </c>
      <c r="E334" s="33">
        <f>F334+G334+H334</f>
        <v>44.45</v>
      </c>
      <c r="F334" s="33">
        <v>4.3</v>
      </c>
      <c r="G334" s="33">
        <v>9.6</v>
      </c>
      <c r="H334" s="33">
        <v>30.55</v>
      </c>
      <c r="I334" s="37">
        <v>2434.08</v>
      </c>
      <c r="J334" s="33">
        <v>30.55</v>
      </c>
      <c r="K334" s="37">
        <v>2362.11</v>
      </c>
      <c r="L334" s="55">
        <f>J334/K334</f>
        <v>0.012933351960746959</v>
      </c>
      <c r="M334" s="29">
        <v>314.4</v>
      </c>
      <c r="N334" s="57">
        <f>L334*M334</f>
        <v>4.066245856458844</v>
      </c>
      <c r="O334" s="57">
        <f>L334*60*1000</f>
        <v>776.0011176448174</v>
      </c>
      <c r="P334" s="56">
        <f>O334*M334/1000</f>
        <v>243.9747513875306</v>
      </c>
      <c r="R334" s="10"/>
      <c r="S334" s="10"/>
    </row>
    <row r="335" spans="1:19" s="9" customFormat="1" ht="12.75" customHeight="1">
      <c r="A335" s="271"/>
      <c r="B335" s="54" t="s">
        <v>820</v>
      </c>
      <c r="C335" s="27">
        <v>16</v>
      </c>
      <c r="D335" s="27" t="s">
        <v>24</v>
      </c>
      <c r="E335" s="33">
        <v>12.9</v>
      </c>
      <c r="F335" s="33">
        <f>17*0.051</f>
        <v>0.867</v>
      </c>
      <c r="G335" s="33">
        <f>16*0.16</f>
        <v>2.56</v>
      </c>
      <c r="H335" s="33">
        <f>+E335-F335-G335</f>
        <v>9.473</v>
      </c>
      <c r="I335" s="230"/>
      <c r="J335" s="33">
        <f>+H335</f>
        <v>9.473</v>
      </c>
      <c r="K335" s="37">
        <v>730.56</v>
      </c>
      <c r="L335" s="55">
        <f>J335/K335</f>
        <v>0.012966765221200178</v>
      </c>
      <c r="M335" s="29">
        <v>343.2</v>
      </c>
      <c r="N335" s="57">
        <f>L335*M335</f>
        <v>4.4501938239159005</v>
      </c>
      <c r="O335" s="57">
        <f>L335*60*1000</f>
        <v>778.0059132720106</v>
      </c>
      <c r="P335" s="56">
        <f>O335*M335/1000</f>
        <v>267.01162943495405</v>
      </c>
      <c r="R335" s="10"/>
      <c r="S335" s="10"/>
    </row>
    <row r="336" spans="1:19" s="9" customFormat="1" ht="12.75">
      <c r="A336" s="271"/>
      <c r="B336" s="54" t="s">
        <v>803</v>
      </c>
      <c r="C336" s="27">
        <v>12</v>
      </c>
      <c r="D336" s="27" t="s">
        <v>24</v>
      </c>
      <c r="E336" s="33">
        <f>F336+G336+H336</f>
        <v>11.369</v>
      </c>
      <c r="F336" s="33">
        <v>0.411</v>
      </c>
      <c r="G336" s="33">
        <v>1.92</v>
      </c>
      <c r="H336" s="33">
        <v>9.038</v>
      </c>
      <c r="I336" s="37">
        <v>695.88</v>
      </c>
      <c r="J336" s="33">
        <v>9.038</v>
      </c>
      <c r="K336" s="37">
        <v>695.88</v>
      </c>
      <c r="L336" s="55">
        <f>J336/K336</f>
        <v>0.01298787147209289</v>
      </c>
      <c r="M336" s="29">
        <v>351.85</v>
      </c>
      <c r="N336" s="57">
        <f>L336*M336</f>
        <v>4.569782577455884</v>
      </c>
      <c r="O336" s="57">
        <f>L336*60*1000</f>
        <v>779.2722883255734</v>
      </c>
      <c r="P336" s="56">
        <f>O336*M336/1000</f>
        <v>274.18695464735305</v>
      </c>
      <c r="Q336" s="11"/>
      <c r="R336" s="10"/>
      <c r="S336" s="10"/>
    </row>
    <row r="337" spans="1:19" s="9" customFormat="1" ht="12.75" customHeight="1">
      <c r="A337" s="271"/>
      <c r="B337" s="54" t="s">
        <v>835</v>
      </c>
      <c r="C337" s="27">
        <v>45</v>
      </c>
      <c r="D337" s="27">
        <v>1984</v>
      </c>
      <c r="E337" s="33">
        <v>42</v>
      </c>
      <c r="F337" s="33">
        <v>4.701</v>
      </c>
      <c r="G337" s="33">
        <v>7.12</v>
      </c>
      <c r="H337" s="33">
        <v>30.179</v>
      </c>
      <c r="I337" s="82" t="s">
        <v>827</v>
      </c>
      <c r="J337" s="33">
        <v>30.181</v>
      </c>
      <c r="K337" s="37">
        <v>2323</v>
      </c>
      <c r="L337" s="55">
        <f>J337/K337</f>
        <v>0.012992251399052948</v>
      </c>
      <c r="M337" s="29">
        <v>346.4</v>
      </c>
      <c r="N337" s="57">
        <f>L337*M337</f>
        <v>4.500515884631941</v>
      </c>
      <c r="O337" s="57">
        <f>L337*60*1000</f>
        <v>779.5350839431769</v>
      </c>
      <c r="P337" s="56">
        <f>O337*M337/1000</f>
        <v>270.0309530779165</v>
      </c>
      <c r="R337" s="10"/>
      <c r="S337" s="10"/>
    </row>
    <row r="338" spans="1:19" s="9" customFormat="1" ht="12.75">
      <c r="A338" s="271"/>
      <c r="B338" s="54" t="s">
        <v>572</v>
      </c>
      <c r="C338" s="27">
        <v>72</v>
      </c>
      <c r="D338" s="27">
        <v>1988</v>
      </c>
      <c r="E338" s="33">
        <v>89.02</v>
      </c>
      <c r="F338" s="33">
        <v>17.44756</v>
      </c>
      <c r="G338" s="33">
        <v>10.08</v>
      </c>
      <c r="H338" s="33">
        <f>E338-F338-G338</f>
        <v>61.49244</v>
      </c>
      <c r="I338" s="37">
        <v>4725.36</v>
      </c>
      <c r="J338" s="33">
        <f>H338</f>
        <v>61.49244</v>
      </c>
      <c r="K338" s="37">
        <f>I338</f>
        <v>4725.36</v>
      </c>
      <c r="L338" s="55">
        <f>J338/K338</f>
        <v>0.013013281527756616</v>
      </c>
      <c r="M338" s="29">
        <v>279.5</v>
      </c>
      <c r="N338" s="57">
        <f>L338*M338</f>
        <v>3.6372121870079743</v>
      </c>
      <c r="O338" s="57">
        <f>L338*60*1000</f>
        <v>780.796891665397</v>
      </c>
      <c r="P338" s="56">
        <f>O338*M338/1000</f>
        <v>218.23273122047846</v>
      </c>
      <c r="R338" s="10"/>
      <c r="S338" s="10"/>
    </row>
    <row r="339" spans="1:19" s="9" customFormat="1" ht="12.75">
      <c r="A339" s="271"/>
      <c r="B339" s="54" t="s">
        <v>895</v>
      </c>
      <c r="C339" s="27">
        <v>60</v>
      </c>
      <c r="D339" s="27" t="s">
        <v>892</v>
      </c>
      <c r="E339" s="33">
        <v>46.88</v>
      </c>
      <c r="F339" s="33">
        <v>4.66</v>
      </c>
      <c r="G339" s="33">
        <v>9.6</v>
      </c>
      <c r="H339" s="33">
        <v>32.62</v>
      </c>
      <c r="I339" s="257"/>
      <c r="J339" s="33">
        <v>32.62</v>
      </c>
      <c r="K339" s="37">
        <v>2501.31</v>
      </c>
      <c r="L339" s="55">
        <f>J339/K339</f>
        <v>0.013041166428791313</v>
      </c>
      <c r="M339" s="29">
        <v>276.97</v>
      </c>
      <c r="N339" s="57">
        <f>L339*M339</f>
        <v>3.61201186578233</v>
      </c>
      <c r="O339" s="57">
        <f>L339*60*1000</f>
        <v>782.4699857274788</v>
      </c>
      <c r="P339" s="56">
        <f>O339*M339/1000</f>
        <v>216.72071194693984</v>
      </c>
      <c r="R339" s="10"/>
      <c r="S339" s="10"/>
    </row>
    <row r="340" spans="1:19" s="9" customFormat="1" ht="12.75">
      <c r="A340" s="271"/>
      <c r="B340" s="43" t="s">
        <v>487</v>
      </c>
      <c r="C340" s="24">
        <v>45</v>
      </c>
      <c r="D340" s="24" t="s">
        <v>24</v>
      </c>
      <c r="E340" s="74">
        <f>SUM(F340:H340)</f>
        <v>41.9</v>
      </c>
      <c r="F340" s="74">
        <v>3.72</v>
      </c>
      <c r="G340" s="74">
        <v>7.34</v>
      </c>
      <c r="H340" s="74">
        <v>30.84</v>
      </c>
      <c r="I340" s="32">
        <v>2363.02</v>
      </c>
      <c r="J340" s="74">
        <v>30.84</v>
      </c>
      <c r="K340" s="32">
        <v>2363.02</v>
      </c>
      <c r="L340" s="55">
        <f>J340/K340</f>
        <v>0.013051095631860923</v>
      </c>
      <c r="M340" s="29">
        <v>206.1</v>
      </c>
      <c r="N340" s="57">
        <f>L340*M340</f>
        <v>2.689830809726536</v>
      </c>
      <c r="O340" s="57">
        <f>L340*60*1000</f>
        <v>783.0657379116554</v>
      </c>
      <c r="P340" s="56">
        <f>O340*M340/1000</f>
        <v>161.3898485835922</v>
      </c>
      <c r="Q340" s="11"/>
      <c r="R340" s="10"/>
      <c r="S340" s="10"/>
    </row>
    <row r="341" spans="1:19" s="9" customFormat="1" ht="12.75" customHeight="1">
      <c r="A341" s="271"/>
      <c r="B341" s="43" t="s">
        <v>36</v>
      </c>
      <c r="C341" s="24">
        <v>28</v>
      </c>
      <c r="D341" s="24">
        <v>1999</v>
      </c>
      <c r="E341" s="74">
        <v>38.984</v>
      </c>
      <c r="F341" s="74">
        <v>6.15468</v>
      </c>
      <c r="G341" s="74">
        <v>4.16</v>
      </c>
      <c r="H341" s="74">
        <v>28.66932</v>
      </c>
      <c r="I341" s="32">
        <v>2189.32</v>
      </c>
      <c r="J341" s="74">
        <v>28.669318</v>
      </c>
      <c r="K341" s="32">
        <v>2189.32</v>
      </c>
      <c r="L341" s="44">
        <f>J341/K341</f>
        <v>0.013095078837264539</v>
      </c>
      <c r="M341" s="24">
        <v>298.66</v>
      </c>
      <c r="N341" s="26">
        <f>L341*M341</f>
        <v>3.9109762455374275</v>
      </c>
      <c r="O341" s="26">
        <f>L341*60*1000</f>
        <v>785.7047302358723</v>
      </c>
      <c r="P341" s="45">
        <f>O341*M341/1000</f>
        <v>234.65857473224563</v>
      </c>
      <c r="R341" s="10"/>
      <c r="S341" s="10"/>
    </row>
    <row r="342" spans="1:19" s="9" customFormat="1" ht="12.75">
      <c r="A342" s="271"/>
      <c r="B342" s="199" t="s">
        <v>240</v>
      </c>
      <c r="C342" s="269">
        <v>59</v>
      </c>
      <c r="D342" s="200">
        <v>1991</v>
      </c>
      <c r="E342" s="201">
        <v>46.275001</v>
      </c>
      <c r="F342" s="202">
        <v>4.633452</v>
      </c>
      <c r="G342" s="202">
        <v>9.6</v>
      </c>
      <c r="H342" s="202">
        <v>32.041549</v>
      </c>
      <c r="I342" s="203">
        <v>2442.55</v>
      </c>
      <c r="J342" s="202">
        <v>32.041549</v>
      </c>
      <c r="K342" s="203">
        <v>2442.55</v>
      </c>
      <c r="L342" s="204">
        <v>0.0131180729156005</v>
      </c>
      <c r="M342" s="205">
        <v>314.574</v>
      </c>
      <c r="N342" s="206">
        <v>4.126604669352112</v>
      </c>
      <c r="O342" s="206">
        <v>787.08437493603</v>
      </c>
      <c r="P342" s="207">
        <v>247.5962801611267</v>
      </c>
      <c r="R342" s="10"/>
      <c r="S342" s="10"/>
    </row>
    <row r="343" spans="1:19" s="9" customFormat="1" ht="12.75" customHeight="1">
      <c r="A343" s="271"/>
      <c r="B343" s="54" t="s">
        <v>529</v>
      </c>
      <c r="C343" s="27">
        <v>60</v>
      </c>
      <c r="D343" s="27">
        <v>1979</v>
      </c>
      <c r="E343" s="33">
        <v>56.8</v>
      </c>
      <c r="F343" s="33">
        <v>6.2</v>
      </c>
      <c r="G343" s="33">
        <v>9.3</v>
      </c>
      <c r="H343" s="33">
        <v>41.3</v>
      </c>
      <c r="I343" s="37">
        <v>3147</v>
      </c>
      <c r="J343" s="33">
        <v>41.3</v>
      </c>
      <c r="K343" s="37">
        <v>3147</v>
      </c>
      <c r="L343" s="55">
        <f>J343/K343</f>
        <v>0.013123609787098823</v>
      </c>
      <c r="M343" s="29">
        <v>250.6</v>
      </c>
      <c r="N343" s="57">
        <f>L343*M343</f>
        <v>3.288776612646965</v>
      </c>
      <c r="O343" s="57">
        <f>L343*60*1000</f>
        <v>787.4165872259294</v>
      </c>
      <c r="P343" s="56">
        <f>O343*M343/1000</f>
        <v>197.3265967588179</v>
      </c>
      <c r="Q343" s="11"/>
      <c r="R343" s="10"/>
      <c r="S343" s="10"/>
    </row>
    <row r="344" spans="1:19" s="9" customFormat="1" ht="12.75" customHeight="1">
      <c r="A344" s="271"/>
      <c r="B344" s="54" t="s">
        <v>821</v>
      </c>
      <c r="C344" s="27">
        <v>30</v>
      </c>
      <c r="D344" s="27" t="s">
        <v>24</v>
      </c>
      <c r="E344" s="33">
        <v>28.6</v>
      </c>
      <c r="F344" s="33">
        <f>46*0.051</f>
        <v>2.3459999999999996</v>
      </c>
      <c r="G344" s="33">
        <f>30*0.16</f>
        <v>4.8</v>
      </c>
      <c r="H344" s="33">
        <f>+E344-F344-G344</f>
        <v>21.454</v>
      </c>
      <c r="I344" s="230"/>
      <c r="J344" s="33">
        <f>+H344</f>
        <v>21.454</v>
      </c>
      <c r="K344" s="37">
        <v>1626.42</v>
      </c>
      <c r="L344" s="55">
        <f>J344/K344</f>
        <v>0.013190934690916246</v>
      </c>
      <c r="M344" s="29">
        <v>343.2</v>
      </c>
      <c r="N344" s="57">
        <f>L344*M344</f>
        <v>4.527128785922455</v>
      </c>
      <c r="O344" s="57">
        <f>L344*60*1000</f>
        <v>791.4560814549747</v>
      </c>
      <c r="P344" s="56">
        <f>O344*M344/1000</f>
        <v>271.6277271553473</v>
      </c>
      <c r="R344" s="10"/>
      <c r="S344" s="10"/>
    </row>
    <row r="345" spans="1:19" s="9" customFormat="1" ht="12.75" customHeight="1">
      <c r="A345" s="271"/>
      <c r="B345" s="199" t="s">
        <v>444</v>
      </c>
      <c r="C345" s="269">
        <v>40</v>
      </c>
      <c r="D345" s="200">
        <v>1986</v>
      </c>
      <c r="E345" s="201">
        <v>40.574</v>
      </c>
      <c r="F345" s="202">
        <v>3.978</v>
      </c>
      <c r="G345" s="202">
        <v>6.4</v>
      </c>
      <c r="H345" s="202">
        <v>30.195999999999998</v>
      </c>
      <c r="I345" s="203">
        <v>2285.9500000000003</v>
      </c>
      <c r="J345" s="202">
        <v>30.195999999999998</v>
      </c>
      <c r="K345" s="203">
        <v>2285.9500000000003</v>
      </c>
      <c r="L345" s="204">
        <v>0.01320938778188499</v>
      </c>
      <c r="M345" s="205">
        <v>314.574</v>
      </c>
      <c r="N345" s="206">
        <v>4.155329952098689</v>
      </c>
      <c r="O345" s="206">
        <v>792.5632669130994</v>
      </c>
      <c r="P345" s="207">
        <v>249.31979712592133</v>
      </c>
      <c r="R345" s="10"/>
      <c r="S345" s="10"/>
    </row>
    <row r="346" spans="1:19" s="9" customFormat="1" ht="12.75" customHeight="1">
      <c r="A346" s="271"/>
      <c r="B346" s="54" t="s">
        <v>804</v>
      </c>
      <c r="C346" s="27">
        <v>12</v>
      </c>
      <c r="D346" s="27" t="s">
        <v>24</v>
      </c>
      <c r="E346" s="33">
        <f>F346+G346+H346</f>
        <v>11.556999999999999</v>
      </c>
      <c r="F346" s="33">
        <v>0.354</v>
      </c>
      <c r="G346" s="33">
        <v>1.92</v>
      </c>
      <c r="H346" s="33">
        <v>9.283</v>
      </c>
      <c r="I346" s="37">
        <v>701.9</v>
      </c>
      <c r="J346" s="33">
        <v>9.283</v>
      </c>
      <c r="K346" s="37">
        <v>701.9</v>
      </c>
      <c r="L346" s="55">
        <f>J346/K346</f>
        <v>0.013225530702379256</v>
      </c>
      <c r="M346" s="29">
        <v>351.85</v>
      </c>
      <c r="N346" s="57">
        <f>L346*M346</f>
        <v>4.653402977632141</v>
      </c>
      <c r="O346" s="57">
        <f>L346*60*1000</f>
        <v>793.5318421427554</v>
      </c>
      <c r="P346" s="56">
        <f>O346*M346/1000</f>
        <v>279.2041786579285</v>
      </c>
      <c r="R346" s="10"/>
      <c r="S346" s="10"/>
    </row>
    <row r="347" spans="1:19" s="9" customFormat="1" ht="12.75" customHeight="1">
      <c r="A347" s="271"/>
      <c r="B347" s="54" t="s">
        <v>704</v>
      </c>
      <c r="C347" s="27">
        <v>45</v>
      </c>
      <c r="D347" s="27" t="s">
        <v>24</v>
      </c>
      <c r="E347" s="33">
        <v>41.73</v>
      </c>
      <c r="F347" s="33">
        <v>3.52</v>
      </c>
      <c r="G347" s="33">
        <v>7.2</v>
      </c>
      <c r="H347" s="33">
        <v>31.01</v>
      </c>
      <c r="I347" s="37">
        <v>2341</v>
      </c>
      <c r="J347" s="33">
        <v>31.01</v>
      </c>
      <c r="K347" s="37">
        <v>2341</v>
      </c>
      <c r="L347" s="55">
        <f>J347/K347</f>
        <v>0.013246475865014951</v>
      </c>
      <c r="M347" s="29">
        <v>234.2</v>
      </c>
      <c r="N347" s="57">
        <f>L347*M347</f>
        <v>3.102324647586501</v>
      </c>
      <c r="O347" s="57">
        <f>L347*60*1000</f>
        <v>794.788551900897</v>
      </c>
      <c r="P347" s="56">
        <f>O347*M347/1000</f>
        <v>186.13947885519008</v>
      </c>
      <c r="R347" s="10"/>
      <c r="S347" s="10"/>
    </row>
    <row r="348" spans="1:19" s="9" customFormat="1" ht="12.75">
      <c r="A348" s="271"/>
      <c r="B348" s="54" t="s">
        <v>404</v>
      </c>
      <c r="C348" s="27">
        <v>20</v>
      </c>
      <c r="D348" s="27" t="s">
        <v>24</v>
      </c>
      <c r="E348" s="33">
        <f>F348+G348+H348</f>
        <v>17.48</v>
      </c>
      <c r="F348" s="33">
        <v>0.061</v>
      </c>
      <c r="G348" s="33">
        <v>3.12</v>
      </c>
      <c r="H348" s="33">
        <v>14.299</v>
      </c>
      <c r="I348" s="37">
        <v>1078.13</v>
      </c>
      <c r="J348" s="33">
        <v>14.299</v>
      </c>
      <c r="K348" s="37">
        <v>1078.13</v>
      </c>
      <c r="L348" s="55">
        <f>J348/K348</f>
        <v>0.013262779071169524</v>
      </c>
      <c r="M348" s="29">
        <v>351.85</v>
      </c>
      <c r="N348" s="57">
        <f>L348*M348</f>
        <v>4.666508816190997</v>
      </c>
      <c r="O348" s="57">
        <f>L348*60*1000</f>
        <v>795.7667442701714</v>
      </c>
      <c r="P348" s="56">
        <f>O348*M348/1000</f>
        <v>279.9905289714598</v>
      </c>
      <c r="R348" s="10"/>
      <c r="S348" s="10"/>
    </row>
    <row r="349" spans="1:19" s="9" customFormat="1" ht="11.25" customHeight="1">
      <c r="A349" s="271"/>
      <c r="B349" s="199" t="s">
        <v>669</v>
      </c>
      <c r="C349" s="269">
        <v>54</v>
      </c>
      <c r="D349" s="200">
        <v>1965</v>
      </c>
      <c r="E349" s="201">
        <v>45.402162000000004</v>
      </c>
      <c r="F349" s="202">
        <v>3.8505000000000003</v>
      </c>
      <c r="G349" s="202">
        <v>8.48</v>
      </c>
      <c r="H349" s="202">
        <v>33.071662</v>
      </c>
      <c r="I349" s="203">
        <v>2546.69</v>
      </c>
      <c r="J349" s="202">
        <v>33.071662</v>
      </c>
      <c r="K349" s="203">
        <v>2491.26</v>
      </c>
      <c r="L349" s="204">
        <v>0.013275074460313256</v>
      </c>
      <c r="M349" s="205">
        <v>314.574</v>
      </c>
      <c r="N349" s="206">
        <v>4.175993273278582</v>
      </c>
      <c r="O349" s="206">
        <v>796.5044676187954</v>
      </c>
      <c r="P349" s="207">
        <v>250.55959639671494</v>
      </c>
      <c r="Q349" s="11"/>
      <c r="R349" s="39"/>
      <c r="S349" s="10"/>
    </row>
    <row r="350" spans="1:19" s="9" customFormat="1" ht="12.75" customHeight="1">
      <c r="A350" s="271"/>
      <c r="B350" s="43" t="s">
        <v>381</v>
      </c>
      <c r="C350" s="24">
        <v>39</v>
      </c>
      <c r="D350" s="24">
        <v>1992</v>
      </c>
      <c r="E350" s="74">
        <f>SUM(F350+G350+H350)</f>
        <v>41.9</v>
      </c>
      <c r="F350" s="74">
        <v>5.3</v>
      </c>
      <c r="G350" s="74">
        <v>6.2</v>
      </c>
      <c r="H350" s="74">
        <v>30.4</v>
      </c>
      <c r="I350" s="32">
        <v>2279.7</v>
      </c>
      <c r="J350" s="74">
        <v>30.4</v>
      </c>
      <c r="K350" s="32">
        <v>2279.7</v>
      </c>
      <c r="L350" s="44">
        <f>SUM(J350/K350)</f>
        <v>0.013335087950168882</v>
      </c>
      <c r="M350" s="26">
        <v>215.8</v>
      </c>
      <c r="N350" s="26">
        <f>SUM(L350*M350)</f>
        <v>2.877711979646445</v>
      </c>
      <c r="O350" s="26">
        <f>L350*60*1000</f>
        <v>800.1052770101329</v>
      </c>
      <c r="P350" s="45">
        <f>SUM(N350*60)</f>
        <v>172.6627187787867</v>
      </c>
      <c r="Q350" s="11"/>
      <c r="R350" s="10"/>
      <c r="S350" s="10"/>
    </row>
    <row r="351" spans="1:19" s="9" customFormat="1" ht="12.75" customHeight="1">
      <c r="A351" s="271"/>
      <c r="B351" s="54" t="s">
        <v>403</v>
      </c>
      <c r="C351" s="27">
        <v>9</v>
      </c>
      <c r="D351" s="27" t="s">
        <v>24</v>
      </c>
      <c r="E351" s="33">
        <f>F351+G351+H351</f>
        <v>11</v>
      </c>
      <c r="F351" s="33">
        <v>0.648</v>
      </c>
      <c r="G351" s="33">
        <v>1.6</v>
      </c>
      <c r="H351" s="33">
        <v>8.752</v>
      </c>
      <c r="I351" s="37">
        <v>656.14</v>
      </c>
      <c r="J351" s="33">
        <v>8.068</v>
      </c>
      <c r="K351" s="37">
        <v>604.77</v>
      </c>
      <c r="L351" s="55">
        <f>J351/K351</f>
        <v>0.013340608826496023</v>
      </c>
      <c r="M351" s="29">
        <v>351.85</v>
      </c>
      <c r="N351" s="57">
        <f>L351*M351</f>
        <v>4.693893215602626</v>
      </c>
      <c r="O351" s="57">
        <f>L351*60*1000</f>
        <v>800.4365295897614</v>
      </c>
      <c r="P351" s="56">
        <f>O351*M351/1000</f>
        <v>281.6335929361576</v>
      </c>
      <c r="R351" s="10"/>
      <c r="S351" s="10"/>
    </row>
    <row r="352" spans="1:16" s="9" customFormat="1" ht="12.75" customHeight="1">
      <c r="A352" s="271"/>
      <c r="B352" s="199" t="s">
        <v>442</v>
      </c>
      <c r="C352" s="269">
        <v>50</v>
      </c>
      <c r="D352" s="200">
        <v>1970</v>
      </c>
      <c r="E352" s="201">
        <v>47.327001</v>
      </c>
      <c r="F352" s="202">
        <v>3.9525</v>
      </c>
      <c r="G352" s="202">
        <v>8</v>
      </c>
      <c r="H352" s="202">
        <v>35.374501</v>
      </c>
      <c r="I352" s="203">
        <v>2636.4700000000003</v>
      </c>
      <c r="J352" s="202">
        <v>35.374501</v>
      </c>
      <c r="K352" s="203">
        <v>2636.4700000000003</v>
      </c>
      <c r="L352" s="204">
        <v>0.013417372850819467</v>
      </c>
      <c r="M352" s="205">
        <v>314.574</v>
      </c>
      <c r="N352" s="206">
        <v>4.220756647173683</v>
      </c>
      <c r="O352" s="206">
        <v>805.0423710491681</v>
      </c>
      <c r="P352" s="207">
        <v>253.245398830421</v>
      </c>
    </row>
    <row r="353" spans="1:19" s="9" customFormat="1" ht="12.75" customHeight="1">
      <c r="A353" s="271"/>
      <c r="B353" s="54" t="s">
        <v>836</v>
      </c>
      <c r="C353" s="27">
        <v>40</v>
      </c>
      <c r="D353" s="27">
        <v>1976</v>
      </c>
      <c r="E353" s="33">
        <v>41</v>
      </c>
      <c r="F353" s="33">
        <v>3.978</v>
      </c>
      <c r="G353" s="33">
        <v>6.4</v>
      </c>
      <c r="H353" s="33">
        <v>30.622</v>
      </c>
      <c r="I353" s="82" t="s">
        <v>827</v>
      </c>
      <c r="J353" s="33">
        <v>30.623</v>
      </c>
      <c r="K353" s="37">
        <v>2272.19</v>
      </c>
      <c r="L353" s="55">
        <f>J353/K353</f>
        <v>0.013477306035146708</v>
      </c>
      <c r="M353" s="29">
        <v>346.4</v>
      </c>
      <c r="N353" s="57">
        <f>L353*M353</f>
        <v>4.66853881057482</v>
      </c>
      <c r="O353" s="57">
        <f>L353*60*1000</f>
        <v>808.6383621088024</v>
      </c>
      <c r="P353" s="56">
        <f>O353*M353/1000</f>
        <v>280.11232863448913</v>
      </c>
      <c r="R353" s="10"/>
      <c r="S353" s="10"/>
    </row>
    <row r="354" spans="1:19" s="9" customFormat="1" ht="12.75" customHeight="1">
      <c r="A354" s="271"/>
      <c r="B354" s="54" t="s">
        <v>527</v>
      </c>
      <c r="C354" s="27">
        <v>90</v>
      </c>
      <c r="D354" s="27">
        <v>1975</v>
      </c>
      <c r="E354" s="33">
        <v>82.9</v>
      </c>
      <c r="F354" s="33">
        <v>6.9</v>
      </c>
      <c r="G354" s="33">
        <v>14.3</v>
      </c>
      <c r="H354" s="33">
        <v>61.7</v>
      </c>
      <c r="I354" s="37">
        <v>4561</v>
      </c>
      <c r="J354" s="33">
        <v>61.7</v>
      </c>
      <c r="K354" s="37">
        <v>4561</v>
      </c>
      <c r="L354" s="55">
        <f>J354/K354</f>
        <v>0.01352773514580136</v>
      </c>
      <c r="M354" s="29">
        <v>250.6</v>
      </c>
      <c r="N354" s="57">
        <f>L354*M354</f>
        <v>3.3900504275378207</v>
      </c>
      <c r="O354" s="57">
        <f>L354*60*1000</f>
        <v>811.6641087480816</v>
      </c>
      <c r="P354" s="56">
        <f>O354*M354/1000</f>
        <v>203.40302565226926</v>
      </c>
      <c r="R354" s="10"/>
      <c r="S354" s="10"/>
    </row>
    <row r="355" spans="1:19" s="9" customFormat="1" ht="12.75" customHeight="1">
      <c r="A355" s="271"/>
      <c r="B355" s="43" t="s">
        <v>489</v>
      </c>
      <c r="C355" s="24">
        <v>80</v>
      </c>
      <c r="D355" s="24" t="s">
        <v>24</v>
      </c>
      <c r="E355" s="74">
        <f>SUM(F355:H355)</f>
        <v>72.3</v>
      </c>
      <c r="F355" s="74">
        <v>6.1</v>
      </c>
      <c r="G355" s="74">
        <v>12.9</v>
      </c>
      <c r="H355" s="74">
        <v>53.3</v>
      </c>
      <c r="I355" s="32">
        <v>3898.3</v>
      </c>
      <c r="J355" s="74">
        <v>46.6</v>
      </c>
      <c r="K355" s="32">
        <v>3435.94</v>
      </c>
      <c r="L355" s="55">
        <f>J355/K355</f>
        <v>0.013562518553874631</v>
      </c>
      <c r="M355" s="29">
        <v>206.1</v>
      </c>
      <c r="N355" s="57">
        <f>L355*M355</f>
        <v>2.7952350739535614</v>
      </c>
      <c r="O355" s="57">
        <f>L355*60*1000</f>
        <v>813.7511132324778</v>
      </c>
      <c r="P355" s="56">
        <f>O355*M355/1000</f>
        <v>167.71410443721368</v>
      </c>
      <c r="R355" s="10"/>
      <c r="S355" s="10"/>
    </row>
    <row r="356" spans="1:19" s="9" customFormat="1" ht="12.75" customHeight="1">
      <c r="A356" s="271"/>
      <c r="B356" s="43" t="s">
        <v>486</v>
      </c>
      <c r="C356" s="24">
        <v>80</v>
      </c>
      <c r="D356" s="24" t="s">
        <v>24</v>
      </c>
      <c r="E356" s="74">
        <f>SUM(F356:H356)</f>
        <v>72.53999999999999</v>
      </c>
      <c r="F356" s="74">
        <v>5.99</v>
      </c>
      <c r="G356" s="74">
        <v>13.05</v>
      </c>
      <c r="H356" s="74">
        <v>53.5</v>
      </c>
      <c r="I356" s="32">
        <v>3925.41</v>
      </c>
      <c r="J356" s="74">
        <v>49.8</v>
      </c>
      <c r="K356" s="32">
        <v>3670.74</v>
      </c>
      <c r="L356" s="55">
        <f>J356/K356</f>
        <v>0.013566746759508981</v>
      </c>
      <c r="M356" s="29">
        <v>206.1</v>
      </c>
      <c r="N356" s="57">
        <f>L356*M356</f>
        <v>2.796106507134801</v>
      </c>
      <c r="O356" s="57">
        <f>L356*60*1000</f>
        <v>814.0048055705389</v>
      </c>
      <c r="P356" s="56">
        <f>O356*M356/1000</f>
        <v>167.76639042808804</v>
      </c>
      <c r="R356" s="10"/>
      <c r="S356" s="10"/>
    </row>
    <row r="357" spans="1:19" s="9" customFormat="1" ht="13.5" customHeight="1">
      <c r="A357" s="271"/>
      <c r="B357" s="199" t="s">
        <v>443</v>
      </c>
      <c r="C357" s="269">
        <v>49</v>
      </c>
      <c r="D357" s="200">
        <v>1984</v>
      </c>
      <c r="E357" s="201">
        <v>46.406519</v>
      </c>
      <c r="F357" s="202">
        <v>4.284</v>
      </c>
      <c r="G357" s="202">
        <v>7.84</v>
      </c>
      <c r="H357" s="202">
        <v>34.282519</v>
      </c>
      <c r="I357" s="203">
        <v>2586</v>
      </c>
      <c r="J357" s="202">
        <v>34.282519</v>
      </c>
      <c r="K357" s="203">
        <v>2521.39</v>
      </c>
      <c r="L357" s="204">
        <v>0.013596674453376908</v>
      </c>
      <c r="M357" s="205">
        <v>314.574</v>
      </c>
      <c r="N357" s="206">
        <v>4.277160269496588</v>
      </c>
      <c r="O357" s="206">
        <v>815.8004672026144</v>
      </c>
      <c r="P357" s="207">
        <v>256.62961616979527</v>
      </c>
      <c r="Q357" s="11"/>
      <c r="R357" s="10"/>
      <c r="S357" s="10"/>
    </row>
    <row r="358" spans="1:19" s="9" customFormat="1" ht="13.5" customHeight="1">
      <c r="A358" s="271"/>
      <c r="B358" s="199" t="s">
        <v>670</v>
      </c>
      <c r="C358" s="269">
        <v>20</v>
      </c>
      <c r="D358" s="200">
        <v>1985</v>
      </c>
      <c r="E358" s="201">
        <v>20.700000000000003</v>
      </c>
      <c r="F358" s="202">
        <v>3.0345</v>
      </c>
      <c r="G358" s="202">
        <v>3.2</v>
      </c>
      <c r="H358" s="202">
        <v>14.4655</v>
      </c>
      <c r="I358" s="203">
        <v>1062.17</v>
      </c>
      <c r="J358" s="202">
        <v>14.4655</v>
      </c>
      <c r="K358" s="203">
        <v>1062.17</v>
      </c>
      <c r="L358" s="204">
        <v>0.013618818079968367</v>
      </c>
      <c r="M358" s="205">
        <v>314.574</v>
      </c>
      <c r="N358" s="206">
        <v>4.284126078687969</v>
      </c>
      <c r="O358" s="206">
        <v>817.129084798102</v>
      </c>
      <c r="P358" s="207">
        <v>257.04756472127815</v>
      </c>
      <c r="R358" s="10"/>
      <c r="S358" s="10"/>
    </row>
    <row r="359" spans="1:19" s="9" customFormat="1" ht="12.75" customHeight="1">
      <c r="A359" s="271"/>
      <c r="B359" s="43" t="s">
        <v>165</v>
      </c>
      <c r="C359" s="24">
        <v>60</v>
      </c>
      <c r="D359" s="24">
        <v>1980</v>
      </c>
      <c r="E359" s="74">
        <v>57.1</v>
      </c>
      <c r="F359" s="74">
        <v>5.51</v>
      </c>
      <c r="G359" s="74">
        <v>9.44</v>
      </c>
      <c r="H359" s="74">
        <f>E359-F359-G359</f>
        <v>42.150000000000006</v>
      </c>
      <c r="I359" s="32">
        <v>3087.75</v>
      </c>
      <c r="J359" s="74">
        <v>42.15</v>
      </c>
      <c r="K359" s="32">
        <v>3087.75</v>
      </c>
      <c r="L359" s="44">
        <f>J359/K359</f>
        <v>0.013650716541170754</v>
      </c>
      <c r="M359" s="26">
        <v>264.761</v>
      </c>
      <c r="N359" s="26">
        <f>L359*M359</f>
        <v>3.6141773621569104</v>
      </c>
      <c r="O359" s="26">
        <f>L359*1000*60</f>
        <v>819.0429924702452</v>
      </c>
      <c r="P359" s="45">
        <f>N359*60</f>
        <v>216.85064172941463</v>
      </c>
      <c r="R359" s="10"/>
      <c r="S359" s="10"/>
    </row>
    <row r="360" spans="1:19" s="9" customFormat="1" ht="12.75">
      <c r="A360" s="271"/>
      <c r="B360" s="54" t="s">
        <v>533</v>
      </c>
      <c r="C360" s="27">
        <v>20</v>
      </c>
      <c r="D360" s="27">
        <v>1987</v>
      </c>
      <c r="E360" s="33">
        <v>19.4</v>
      </c>
      <c r="F360" s="33">
        <v>1.5</v>
      </c>
      <c r="G360" s="33">
        <v>3.2</v>
      </c>
      <c r="H360" s="33">
        <v>14.7</v>
      </c>
      <c r="I360" s="37">
        <v>1076</v>
      </c>
      <c r="J360" s="33">
        <v>14.7</v>
      </c>
      <c r="K360" s="37">
        <v>1076</v>
      </c>
      <c r="L360" s="55">
        <f>J360/K360</f>
        <v>0.01366171003717472</v>
      </c>
      <c r="M360" s="29">
        <v>250.6</v>
      </c>
      <c r="N360" s="57">
        <f>L360*M360</f>
        <v>3.4236245353159847</v>
      </c>
      <c r="O360" s="57">
        <f>L360*60*1000</f>
        <v>819.7026022304832</v>
      </c>
      <c r="P360" s="56">
        <f>O360*M360/1000</f>
        <v>205.4174721189591</v>
      </c>
      <c r="R360" s="10"/>
      <c r="S360" s="10"/>
    </row>
    <row r="361" spans="1:19" s="9" customFormat="1" ht="12.75">
      <c r="A361" s="271"/>
      <c r="B361" s="54" t="s">
        <v>837</v>
      </c>
      <c r="C361" s="27">
        <v>12</v>
      </c>
      <c r="D361" s="27">
        <v>1975</v>
      </c>
      <c r="E361" s="33">
        <v>13.878</v>
      </c>
      <c r="F361" s="33">
        <v>2.265</v>
      </c>
      <c r="G361" s="33">
        <v>1.92</v>
      </c>
      <c r="H361" s="33">
        <v>9.692</v>
      </c>
      <c r="I361" s="82" t="s">
        <v>838</v>
      </c>
      <c r="J361" s="33">
        <v>9.692</v>
      </c>
      <c r="K361" s="37">
        <v>707.11</v>
      </c>
      <c r="L361" s="55">
        <f>J361/K361</f>
        <v>0.013706495453324094</v>
      </c>
      <c r="M361" s="29">
        <v>346.4</v>
      </c>
      <c r="N361" s="57">
        <f>L361*M361</f>
        <v>4.747930025031466</v>
      </c>
      <c r="O361" s="57">
        <f>L361*60*1000</f>
        <v>822.3897271994457</v>
      </c>
      <c r="P361" s="56">
        <f>O361*M361/1000</f>
        <v>284.87580150188796</v>
      </c>
      <c r="R361" s="10"/>
      <c r="S361" s="10"/>
    </row>
    <row r="362" spans="1:19" s="9" customFormat="1" ht="12.75">
      <c r="A362" s="271"/>
      <c r="B362" s="54" t="s">
        <v>791</v>
      </c>
      <c r="C362" s="27">
        <v>40</v>
      </c>
      <c r="D362" s="27">
        <v>1974</v>
      </c>
      <c r="E362" s="33">
        <v>41.416</v>
      </c>
      <c r="F362" s="33">
        <v>3.975</v>
      </c>
      <c r="G362" s="33">
        <v>6.4</v>
      </c>
      <c r="H362" s="33">
        <v>31.041</v>
      </c>
      <c r="I362" s="37">
        <v>2261.31</v>
      </c>
      <c r="J362" s="33">
        <v>31.041</v>
      </c>
      <c r="K362" s="37">
        <v>2261.31</v>
      </c>
      <c r="L362" s="55">
        <f>J362/K362</f>
        <v>0.013726998951934941</v>
      </c>
      <c r="M362" s="29">
        <v>216.6</v>
      </c>
      <c r="N362" s="57">
        <f>L362*M362</f>
        <v>2.9732679729891083</v>
      </c>
      <c r="O362" s="57">
        <f>L362*60*1000</f>
        <v>823.6199371160965</v>
      </c>
      <c r="P362" s="56">
        <f>O362*M362/1000</f>
        <v>178.3960783793465</v>
      </c>
      <c r="R362" s="10"/>
      <c r="S362" s="10"/>
    </row>
    <row r="363" spans="1:19" s="9" customFormat="1" ht="12.75">
      <c r="A363" s="271"/>
      <c r="B363" s="54" t="s">
        <v>896</v>
      </c>
      <c r="C363" s="27">
        <v>45</v>
      </c>
      <c r="D363" s="27" t="s">
        <v>892</v>
      </c>
      <c r="E363" s="33">
        <v>42.979</v>
      </c>
      <c r="F363" s="33">
        <v>5.132</v>
      </c>
      <c r="G363" s="33">
        <v>7.2</v>
      </c>
      <c r="H363" s="33">
        <v>30.647</v>
      </c>
      <c r="I363" s="257"/>
      <c r="J363" s="33">
        <v>30.647</v>
      </c>
      <c r="K363" s="37">
        <v>2224.3</v>
      </c>
      <c r="L363" s="55">
        <f>J363/K363</f>
        <v>0.013778267320055746</v>
      </c>
      <c r="M363" s="29">
        <v>276.97</v>
      </c>
      <c r="N363" s="57">
        <f>L363*M363</f>
        <v>3.8161666996358403</v>
      </c>
      <c r="O363" s="57">
        <f>L363*60*1000</f>
        <v>826.6960392033448</v>
      </c>
      <c r="P363" s="56">
        <f>O363*M363/1000</f>
        <v>228.97000197815044</v>
      </c>
      <c r="R363" s="10"/>
      <c r="S363" s="10"/>
    </row>
    <row r="364" spans="1:19" s="9" customFormat="1" ht="12.75">
      <c r="A364" s="271"/>
      <c r="B364" s="54" t="s">
        <v>705</v>
      </c>
      <c r="C364" s="27">
        <v>55</v>
      </c>
      <c r="D364" s="27" t="s">
        <v>24</v>
      </c>
      <c r="E364" s="33">
        <v>54.46</v>
      </c>
      <c r="F364" s="33">
        <v>4.59</v>
      </c>
      <c r="G364" s="33">
        <v>8.64</v>
      </c>
      <c r="H364" s="33">
        <v>41.22</v>
      </c>
      <c r="I364" s="37">
        <v>2986</v>
      </c>
      <c r="J364" s="33">
        <v>41.22</v>
      </c>
      <c r="K364" s="37">
        <v>2986</v>
      </c>
      <c r="L364" s="55">
        <f>J364/K364</f>
        <v>0.013804420629604823</v>
      </c>
      <c r="M364" s="29">
        <v>234.2</v>
      </c>
      <c r="N364" s="57">
        <f>L364*M364</f>
        <v>3.232995311453449</v>
      </c>
      <c r="O364" s="57">
        <f>L364*60*1000</f>
        <v>828.2652377762894</v>
      </c>
      <c r="P364" s="56">
        <f>O364*M364/1000</f>
        <v>193.97971868720697</v>
      </c>
      <c r="R364" s="10"/>
      <c r="S364" s="10"/>
    </row>
    <row r="365" spans="1:19" s="9" customFormat="1" ht="12.75">
      <c r="A365" s="271"/>
      <c r="B365" s="43" t="s">
        <v>491</v>
      </c>
      <c r="C365" s="24">
        <v>20</v>
      </c>
      <c r="D365" s="24" t="s">
        <v>24</v>
      </c>
      <c r="E365" s="74">
        <f>SUM(F365:H365)</f>
        <v>18.87</v>
      </c>
      <c r="F365" s="74">
        <v>1.23</v>
      </c>
      <c r="G365" s="74">
        <v>3.26</v>
      </c>
      <c r="H365" s="74">
        <v>14.38</v>
      </c>
      <c r="I365" s="32">
        <v>1055.4</v>
      </c>
      <c r="J365" s="74">
        <v>14.38</v>
      </c>
      <c r="K365" s="32">
        <v>1041.58</v>
      </c>
      <c r="L365" s="55">
        <f>J365/K365</f>
        <v>0.013805948654928091</v>
      </c>
      <c r="M365" s="29">
        <v>206.1</v>
      </c>
      <c r="N365" s="57">
        <f>L365*M365</f>
        <v>2.8454060177806797</v>
      </c>
      <c r="O365" s="57">
        <f>L365*60*1000</f>
        <v>828.3569192956854</v>
      </c>
      <c r="P365" s="56">
        <f>O365*M365/1000</f>
        <v>170.72436106684077</v>
      </c>
      <c r="R365" s="10"/>
      <c r="S365" s="10"/>
    </row>
    <row r="366" spans="1:19" s="9" customFormat="1" ht="12.75">
      <c r="A366" s="271"/>
      <c r="B366" s="54" t="s">
        <v>960</v>
      </c>
      <c r="C366" s="27">
        <v>8</v>
      </c>
      <c r="D366" s="27">
        <v>1978</v>
      </c>
      <c r="E366" s="33">
        <v>5.273</v>
      </c>
      <c r="F366" s="33">
        <v>0.224</v>
      </c>
      <c r="G366" s="33">
        <v>0.64</v>
      </c>
      <c r="H366" s="33">
        <v>4.409</v>
      </c>
      <c r="I366" s="37">
        <v>571.25</v>
      </c>
      <c r="J366" s="33">
        <v>3.969</v>
      </c>
      <c r="K366" s="37">
        <v>286.04</v>
      </c>
      <c r="L366" s="55">
        <f>J366/K366</f>
        <v>0.013875681722835966</v>
      </c>
      <c r="M366" s="29">
        <v>298.987</v>
      </c>
      <c r="N366" s="57">
        <f>L366*M366</f>
        <v>4.148648451265557</v>
      </c>
      <c r="O366" s="57">
        <f>L366*60*1000</f>
        <v>832.5409033701579</v>
      </c>
      <c r="P366" s="56">
        <f>O366*M366/1000</f>
        <v>248.91890707593345</v>
      </c>
      <c r="R366" s="10"/>
      <c r="S366" s="10"/>
    </row>
    <row r="367" spans="1:19" s="9" customFormat="1" ht="12.75" customHeight="1">
      <c r="A367" s="271"/>
      <c r="B367" s="54" t="s">
        <v>942</v>
      </c>
      <c r="C367" s="27">
        <v>42</v>
      </c>
      <c r="D367" s="27">
        <v>1990</v>
      </c>
      <c r="E367" s="33">
        <v>46.7</v>
      </c>
      <c r="F367" s="33">
        <v>5.633</v>
      </c>
      <c r="G367" s="33">
        <v>6.82</v>
      </c>
      <c r="H367" s="33">
        <v>34.337</v>
      </c>
      <c r="I367" s="37">
        <v>2457.91</v>
      </c>
      <c r="J367" s="33">
        <v>34.337</v>
      </c>
      <c r="K367" s="37">
        <v>2457.91</v>
      </c>
      <c r="L367" s="55">
        <f>J367/K367</f>
        <v>0.013969998901505753</v>
      </c>
      <c r="M367" s="29">
        <v>201.868</v>
      </c>
      <c r="N367" s="57">
        <f>L367*M367</f>
        <v>2.8200957382491634</v>
      </c>
      <c r="O367" s="57">
        <f>L367*60*1000</f>
        <v>838.1999340903452</v>
      </c>
      <c r="P367" s="56">
        <f>O367*M367/1000</f>
        <v>169.2057442949498</v>
      </c>
      <c r="R367" s="10"/>
      <c r="S367" s="10"/>
    </row>
    <row r="368" spans="1:19" s="9" customFormat="1" ht="12.75">
      <c r="A368" s="271"/>
      <c r="B368" s="54" t="s">
        <v>958</v>
      </c>
      <c r="C368" s="27">
        <v>24</v>
      </c>
      <c r="D368" s="27">
        <v>2011</v>
      </c>
      <c r="E368" s="33">
        <v>20.388</v>
      </c>
      <c r="F368" s="33">
        <v>2.707</v>
      </c>
      <c r="G368" s="33">
        <v>1.92</v>
      </c>
      <c r="H368" s="33">
        <v>15.761</v>
      </c>
      <c r="I368" s="37">
        <v>1123.75</v>
      </c>
      <c r="J368" s="33">
        <v>15.761</v>
      </c>
      <c r="K368" s="37">
        <v>1123.75</v>
      </c>
      <c r="L368" s="55">
        <f>J368/K368</f>
        <v>0.014025361512791991</v>
      </c>
      <c r="M368" s="29">
        <v>298.987</v>
      </c>
      <c r="N368" s="57">
        <f>L368*M368</f>
        <v>4.1934007626251395</v>
      </c>
      <c r="O368" s="57">
        <f>L368*60*1000</f>
        <v>841.5216907675194</v>
      </c>
      <c r="P368" s="56">
        <f>O368*M368/1000</f>
        <v>251.60404575750835</v>
      </c>
      <c r="Q368" s="11"/>
      <c r="R368" s="10"/>
      <c r="S368" s="10"/>
    </row>
    <row r="369" spans="1:19" s="9" customFormat="1" ht="12.75" customHeight="1">
      <c r="A369" s="271"/>
      <c r="B369" s="54" t="s">
        <v>961</v>
      </c>
      <c r="C369" s="27">
        <v>6</v>
      </c>
      <c r="D369" s="27">
        <v>1986</v>
      </c>
      <c r="E369" s="33">
        <v>32.873</v>
      </c>
      <c r="F369" s="33">
        <v>2.689</v>
      </c>
      <c r="G369" s="33">
        <v>4.8</v>
      </c>
      <c r="H369" s="33">
        <v>25.384</v>
      </c>
      <c r="I369" s="37">
        <v>1810.7</v>
      </c>
      <c r="J369" s="33">
        <v>23.461</v>
      </c>
      <c r="K369" s="37">
        <v>1666.74</v>
      </c>
      <c r="L369" s="55">
        <f>J369/K369</f>
        <v>0.014075980656851098</v>
      </c>
      <c r="M369" s="29">
        <v>298.987</v>
      </c>
      <c r="N369" s="57">
        <f>L369*M369</f>
        <v>4.208535228649939</v>
      </c>
      <c r="O369" s="57">
        <f>L369*60*1000</f>
        <v>844.558839411066</v>
      </c>
      <c r="P369" s="56">
        <f>O369*M369/1000</f>
        <v>252.5121137189964</v>
      </c>
      <c r="Q369" s="11"/>
      <c r="R369" s="10"/>
      <c r="S369" s="10"/>
    </row>
    <row r="370" spans="1:19" s="9" customFormat="1" ht="12.75">
      <c r="A370" s="271"/>
      <c r="B370" s="43" t="s">
        <v>382</v>
      </c>
      <c r="C370" s="24">
        <v>20</v>
      </c>
      <c r="D370" s="24">
        <v>1997</v>
      </c>
      <c r="E370" s="74">
        <f>SUM(F370+G370+H370)</f>
        <v>22.2</v>
      </c>
      <c r="F370" s="74">
        <v>2.3</v>
      </c>
      <c r="G370" s="74">
        <v>3.2</v>
      </c>
      <c r="H370" s="74">
        <v>16.7</v>
      </c>
      <c r="I370" s="32">
        <v>1186.4</v>
      </c>
      <c r="J370" s="74">
        <v>16.7</v>
      </c>
      <c r="K370" s="32">
        <v>1186.4</v>
      </c>
      <c r="L370" s="44">
        <f>SUM(J370/K370)</f>
        <v>0.014076196898179365</v>
      </c>
      <c r="M370" s="26">
        <v>215.8</v>
      </c>
      <c r="N370" s="26">
        <f>SUM(L370*M370)</f>
        <v>3.0376432906271074</v>
      </c>
      <c r="O370" s="26">
        <f>L370*60*1000</f>
        <v>844.5718138907619</v>
      </c>
      <c r="P370" s="45">
        <f>SUM(N370*60)</f>
        <v>182.25859743762643</v>
      </c>
      <c r="R370" s="10"/>
      <c r="S370" s="10"/>
    </row>
    <row r="371" spans="1:19" s="9" customFormat="1" ht="12.75">
      <c r="A371" s="271"/>
      <c r="B371" s="54" t="s">
        <v>877</v>
      </c>
      <c r="C371" s="27">
        <v>24</v>
      </c>
      <c r="D371" s="27" t="s">
        <v>156</v>
      </c>
      <c r="E371" s="230"/>
      <c r="F371" s="33">
        <v>1.793448</v>
      </c>
      <c r="G371" s="33">
        <v>3.68</v>
      </c>
      <c r="H371" s="33">
        <v>13.686139</v>
      </c>
      <c r="I371" s="37">
        <v>971.5</v>
      </c>
      <c r="J371" s="33">
        <v>13.686139</v>
      </c>
      <c r="K371" s="37">
        <v>971.5</v>
      </c>
      <c r="L371" s="55">
        <f>J371/K371</f>
        <v>0.014087636644364385</v>
      </c>
      <c r="M371" s="29">
        <v>279.803</v>
      </c>
      <c r="N371" s="57">
        <f>L371*M371</f>
        <v>3.941762996003088</v>
      </c>
      <c r="O371" s="57">
        <f>L371*60*1000</f>
        <v>845.2581986618632</v>
      </c>
      <c r="P371" s="56">
        <f>O371*M371/1000</f>
        <v>236.5057797601853</v>
      </c>
      <c r="R371" s="10"/>
      <c r="S371" s="10"/>
    </row>
    <row r="372" spans="1:19" s="9" customFormat="1" ht="12.75">
      <c r="A372" s="271"/>
      <c r="B372" s="54" t="s">
        <v>573</v>
      </c>
      <c r="C372" s="27">
        <v>61</v>
      </c>
      <c r="D372" s="27">
        <v>1970</v>
      </c>
      <c r="E372" s="33">
        <v>56.25196</v>
      </c>
      <c r="F372" s="33">
        <v>7.02829</v>
      </c>
      <c r="G372" s="33">
        <v>5.97</v>
      </c>
      <c r="H372" s="33">
        <f>E372-F372-G372</f>
        <v>43.25367</v>
      </c>
      <c r="I372" s="37">
        <v>3066.42</v>
      </c>
      <c r="J372" s="33">
        <f>H372</f>
        <v>43.25367</v>
      </c>
      <c r="K372" s="37">
        <f>I372</f>
        <v>3066.42</v>
      </c>
      <c r="L372" s="55">
        <f>J372/K372</f>
        <v>0.014105592188936936</v>
      </c>
      <c r="M372" s="29">
        <v>279.5</v>
      </c>
      <c r="N372" s="57">
        <f>L372*M372</f>
        <v>3.9425130168078737</v>
      </c>
      <c r="O372" s="57">
        <f>L372*60*1000</f>
        <v>846.3355313362161</v>
      </c>
      <c r="P372" s="56">
        <f>O372*M372/1000</f>
        <v>236.5507810084724</v>
      </c>
      <c r="R372" s="10"/>
      <c r="S372" s="10"/>
    </row>
    <row r="373" spans="1:19" s="9" customFormat="1" ht="12.75">
      <c r="A373" s="271"/>
      <c r="B373" s="43" t="s">
        <v>493</v>
      </c>
      <c r="C373" s="24">
        <v>45</v>
      </c>
      <c r="D373" s="24" t="s">
        <v>24</v>
      </c>
      <c r="E373" s="74">
        <f>SUM(F373:H373)</f>
        <v>44.709999999999994</v>
      </c>
      <c r="F373" s="74">
        <v>4.39</v>
      </c>
      <c r="G373" s="74">
        <v>7.34</v>
      </c>
      <c r="H373" s="74">
        <v>32.98</v>
      </c>
      <c r="I373" s="32">
        <v>2336.24</v>
      </c>
      <c r="J373" s="74">
        <v>32.98</v>
      </c>
      <c r="K373" s="32">
        <v>2336.24</v>
      </c>
      <c r="L373" s="55">
        <f>J373/K373</f>
        <v>0.014116700339006267</v>
      </c>
      <c r="M373" s="29">
        <v>206.1</v>
      </c>
      <c r="N373" s="57">
        <f>L373*M373</f>
        <v>2.9094519398691916</v>
      </c>
      <c r="O373" s="57">
        <f>L373*60*1000</f>
        <v>847.002020340376</v>
      </c>
      <c r="P373" s="56">
        <f>O373*M373/1000</f>
        <v>174.5671163921515</v>
      </c>
      <c r="R373" s="10"/>
      <c r="S373" s="10"/>
    </row>
    <row r="374" spans="1:19" s="9" customFormat="1" ht="12.75">
      <c r="A374" s="271"/>
      <c r="B374" s="54" t="s">
        <v>530</v>
      </c>
      <c r="C374" s="27">
        <v>90</v>
      </c>
      <c r="D374" s="27">
        <v>1979</v>
      </c>
      <c r="E374" s="33">
        <v>88.2</v>
      </c>
      <c r="F374" s="33">
        <v>11.1</v>
      </c>
      <c r="G374" s="33">
        <v>14.1</v>
      </c>
      <c r="H374" s="33">
        <v>63</v>
      </c>
      <c r="I374" s="37">
        <v>4459</v>
      </c>
      <c r="J374" s="33">
        <v>63</v>
      </c>
      <c r="K374" s="37">
        <v>4459</v>
      </c>
      <c r="L374" s="55">
        <f>J374/K374</f>
        <v>0.0141287284144427</v>
      </c>
      <c r="M374" s="29">
        <v>250.6</v>
      </c>
      <c r="N374" s="57">
        <f>L374*M374</f>
        <v>3.5406593406593405</v>
      </c>
      <c r="O374" s="57">
        <f>L374*60*1000</f>
        <v>847.723704866562</v>
      </c>
      <c r="P374" s="56">
        <f>O374*M374/1000</f>
        <v>212.43956043956044</v>
      </c>
      <c r="R374" s="10"/>
      <c r="S374" s="10"/>
    </row>
    <row r="375" spans="1:19" s="9" customFormat="1" ht="12.75">
      <c r="A375" s="271"/>
      <c r="B375" s="54" t="s">
        <v>406</v>
      </c>
      <c r="C375" s="27">
        <v>44</v>
      </c>
      <c r="D375" s="27" t="s">
        <v>156</v>
      </c>
      <c r="E375" s="230"/>
      <c r="F375" s="33">
        <v>2.620644</v>
      </c>
      <c r="G375" s="33">
        <v>6.89</v>
      </c>
      <c r="H375" s="33">
        <v>26.383444</v>
      </c>
      <c r="I375" s="37">
        <v>1862.58</v>
      </c>
      <c r="J375" s="33">
        <v>26.383444</v>
      </c>
      <c r="K375" s="37">
        <v>1862.58</v>
      </c>
      <c r="L375" s="55">
        <f>J375/K375</f>
        <v>0.014164999087287527</v>
      </c>
      <c r="M375" s="29">
        <v>279.803</v>
      </c>
      <c r="N375" s="57">
        <f>L375*M375</f>
        <v>3.963409239620312</v>
      </c>
      <c r="O375" s="57">
        <f>L375*60*1000</f>
        <v>849.8999452372517</v>
      </c>
      <c r="P375" s="56">
        <f>O375*M375/1000</f>
        <v>237.80455437721875</v>
      </c>
      <c r="R375" s="10"/>
      <c r="S375" s="10"/>
    </row>
    <row r="376" spans="1:19" s="9" customFormat="1" ht="12.75">
      <c r="A376" s="271"/>
      <c r="B376" s="54" t="s">
        <v>897</v>
      </c>
      <c r="C376" s="27">
        <v>45</v>
      </c>
      <c r="D376" s="27" t="s">
        <v>892</v>
      </c>
      <c r="E376" s="33">
        <v>43.226</v>
      </c>
      <c r="F376" s="33">
        <v>4.888</v>
      </c>
      <c r="G376" s="33">
        <v>7.2</v>
      </c>
      <c r="H376" s="33">
        <v>31.138</v>
      </c>
      <c r="I376" s="257"/>
      <c r="J376" s="33">
        <v>31.138</v>
      </c>
      <c r="K376" s="37">
        <v>2197.37</v>
      </c>
      <c r="L376" s="55">
        <f>J376/K376</f>
        <v>0.014170576643897023</v>
      </c>
      <c r="M376" s="29">
        <v>276.97</v>
      </c>
      <c r="N376" s="57">
        <f>L376*M376</f>
        <v>3.9248246130601587</v>
      </c>
      <c r="O376" s="57">
        <f>L376*60*1000</f>
        <v>850.2345986338213</v>
      </c>
      <c r="P376" s="56">
        <f>O376*M376/1000</f>
        <v>235.48947678360952</v>
      </c>
      <c r="R376" s="10"/>
      <c r="S376" s="10"/>
    </row>
    <row r="377" spans="1:19" s="9" customFormat="1" ht="12.75">
      <c r="A377" s="271"/>
      <c r="B377" s="54" t="s">
        <v>962</v>
      </c>
      <c r="C377" s="27">
        <v>20</v>
      </c>
      <c r="D377" s="27">
        <v>1974</v>
      </c>
      <c r="E377" s="33">
        <v>24.544</v>
      </c>
      <c r="F377" s="33">
        <v>1.333</v>
      </c>
      <c r="G377" s="33">
        <v>3.2</v>
      </c>
      <c r="H377" s="33">
        <v>20.011</v>
      </c>
      <c r="I377" s="37">
        <v>1410.72</v>
      </c>
      <c r="J377" s="33">
        <v>20.011</v>
      </c>
      <c r="K377" s="37">
        <v>1410.72</v>
      </c>
      <c r="L377" s="55">
        <f>J377/K377</f>
        <v>0.014184955200181466</v>
      </c>
      <c r="M377" s="29">
        <v>298.987</v>
      </c>
      <c r="N377" s="57">
        <f>L377*M377</f>
        <v>4.241117200436657</v>
      </c>
      <c r="O377" s="57">
        <f>L377*60*1000</f>
        <v>851.097312010888</v>
      </c>
      <c r="P377" s="56">
        <f>O377*M377/1000</f>
        <v>254.4670320261994</v>
      </c>
      <c r="R377" s="10"/>
      <c r="S377" s="10"/>
    </row>
    <row r="378" spans="1:16" s="9" customFormat="1" ht="12.75" customHeight="1">
      <c r="A378" s="271"/>
      <c r="B378" s="54" t="s">
        <v>706</v>
      </c>
      <c r="C378" s="27">
        <v>46</v>
      </c>
      <c r="D378" s="27" t="s">
        <v>24</v>
      </c>
      <c r="E378" s="33">
        <v>44.27</v>
      </c>
      <c r="F378" s="33">
        <v>3.47</v>
      </c>
      <c r="G378" s="33">
        <v>7.2</v>
      </c>
      <c r="H378" s="33">
        <v>33.6</v>
      </c>
      <c r="I378" s="37">
        <v>2361</v>
      </c>
      <c r="J378" s="33">
        <v>33.6</v>
      </c>
      <c r="K378" s="37">
        <v>2361</v>
      </c>
      <c r="L378" s="55">
        <f>J378/K378</f>
        <v>0.014231257941550191</v>
      </c>
      <c r="M378" s="29">
        <v>234.2</v>
      </c>
      <c r="N378" s="57">
        <f>L378*M378</f>
        <v>3.3329606099110545</v>
      </c>
      <c r="O378" s="57">
        <f>L378*60*1000</f>
        <v>853.8754764930114</v>
      </c>
      <c r="P378" s="56">
        <f>O378*M378/1000</f>
        <v>199.97763659466327</v>
      </c>
    </row>
    <row r="379" spans="1:25" s="9" customFormat="1" ht="12.75" customHeight="1">
      <c r="A379" s="271"/>
      <c r="B379" s="54" t="s">
        <v>792</v>
      </c>
      <c r="C379" s="27">
        <v>40</v>
      </c>
      <c r="D379" s="27">
        <v>1990</v>
      </c>
      <c r="E379" s="33">
        <v>42.615</v>
      </c>
      <c r="F379" s="33">
        <v>3.751</v>
      </c>
      <c r="G379" s="33">
        <v>6.4</v>
      </c>
      <c r="H379" s="33">
        <v>32.464</v>
      </c>
      <c r="I379" s="37">
        <v>2277.29</v>
      </c>
      <c r="J379" s="33">
        <v>32.464</v>
      </c>
      <c r="K379" s="37">
        <v>2277.29</v>
      </c>
      <c r="L379" s="55">
        <f>J379/K379</f>
        <v>0.01425554057673814</v>
      </c>
      <c r="M379" s="29">
        <v>216.6</v>
      </c>
      <c r="N379" s="57">
        <f>L379*M379</f>
        <v>3.087750088921481</v>
      </c>
      <c r="O379" s="57">
        <f>L379*60*1000</f>
        <v>855.3324346042884</v>
      </c>
      <c r="P379" s="56">
        <f>O379*M379/1000</f>
        <v>185.2650053352889</v>
      </c>
      <c r="Q379" s="10"/>
      <c r="R379" s="10"/>
      <c r="S379" s="10"/>
      <c r="T379" s="12"/>
      <c r="U379" s="13"/>
      <c r="V379" s="13"/>
      <c r="X379" s="16"/>
      <c r="Y379" s="16"/>
    </row>
    <row r="380" spans="1:19" s="9" customFormat="1" ht="12.75" customHeight="1">
      <c r="A380" s="271"/>
      <c r="B380" s="54" t="s">
        <v>898</v>
      </c>
      <c r="C380" s="27">
        <v>20</v>
      </c>
      <c r="D380" s="27" t="s">
        <v>892</v>
      </c>
      <c r="E380" s="33">
        <v>24.07</v>
      </c>
      <c r="F380" s="33">
        <v>2.666</v>
      </c>
      <c r="G380" s="33">
        <v>3.2</v>
      </c>
      <c r="H380" s="33">
        <v>18.204</v>
      </c>
      <c r="I380" s="257"/>
      <c r="J380" s="33">
        <v>18.204</v>
      </c>
      <c r="K380" s="37">
        <v>1275.88</v>
      </c>
      <c r="L380" s="55">
        <f>J380/K380</f>
        <v>0.014267799479574881</v>
      </c>
      <c r="M380" s="29">
        <v>276.97</v>
      </c>
      <c r="N380" s="57">
        <f>L380*M380</f>
        <v>3.9517524218578552</v>
      </c>
      <c r="O380" s="57">
        <f>L380*60*1000</f>
        <v>856.0679687744929</v>
      </c>
      <c r="P380" s="56">
        <f>O380*M380/1000</f>
        <v>237.10514531147132</v>
      </c>
      <c r="Q380" s="11"/>
      <c r="R380" s="10"/>
      <c r="S380" s="10"/>
    </row>
    <row r="381" spans="1:19" s="9" customFormat="1" ht="12.75">
      <c r="A381" s="271"/>
      <c r="B381" s="43" t="s">
        <v>166</v>
      </c>
      <c r="C381" s="24">
        <v>60</v>
      </c>
      <c r="D381" s="24">
        <v>1968</v>
      </c>
      <c r="E381" s="74">
        <v>53.2</v>
      </c>
      <c r="F381" s="74">
        <v>4.68</v>
      </c>
      <c r="G381" s="74">
        <v>9.6</v>
      </c>
      <c r="H381" s="74">
        <f>E381-F381-G381</f>
        <v>38.92</v>
      </c>
      <c r="I381" s="32">
        <v>2726.22</v>
      </c>
      <c r="J381" s="74">
        <v>38.92</v>
      </c>
      <c r="K381" s="32">
        <v>2726.22</v>
      </c>
      <c r="L381" s="44">
        <f>J381/K381</f>
        <v>0.01427617727109331</v>
      </c>
      <c r="M381" s="26">
        <v>264.761</v>
      </c>
      <c r="N381" s="26">
        <f>L381*M381</f>
        <v>3.7797749704719363</v>
      </c>
      <c r="O381" s="26">
        <f>L381*1000*60</f>
        <v>856.5706362655986</v>
      </c>
      <c r="P381" s="45">
        <f>N381*60</f>
        <v>226.7864982283162</v>
      </c>
      <c r="R381" s="10"/>
      <c r="S381" s="10"/>
    </row>
    <row r="382" spans="1:19" s="9" customFormat="1" ht="12.75">
      <c r="A382" s="271"/>
      <c r="B382" s="54" t="s">
        <v>531</v>
      </c>
      <c r="C382" s="27">
        <v>45</v>
      </c>
      <c r="D382" s="27">
        <v>1987</v>
      </c>
      <c r="E382" s="33">
        <v>55.7</v>
      </c>
      <c r="F382" s="33">
        <v>5.2</v>
      </c>
      <c r="G382" s="33">
        <v>7.9</v>
      </c>
      <c r="H382" s="33">
        <v>42.6</v>
      </c>
      <c r="I382" s="37">
        <v>2970</v>
      </c>
      <c r="J382" s="33">
        <v>42.6</v>
      </c>
      <c r="K382" s="37">
        <v>2970</v>
      </c>
      <c r="L382" s="55">
        <f>J382/K382</f>
        <v>0.014343434343434344</v>
      </c>
      <c r="M382" s="29">
        <v>250.6</v>
      </c>
      <c r="N382" s="57">
        <f>L382*M382</f>
        <v>3.5944646464646466</v>
      </c>
      <c r="O382" s="57">
        <f>L382*60*1000</f>
        <v>860.6060606060606</v>
      </c>
      <c r="P382" s="56">
        <f>O382*M382/1000</f>
        <v>215.66787878787878</v>
      </c>
      <c r="R382" s="10"/>
      <c r="S382" s="10"/>
    </row>
    <row r="383" spans="1:19" s="9" customFormat="1" ht="12.75" customHeight="1">
      <c r="A383" s="271"/>
      <c r="B383" s="43" t="s">
        <v>488</v>
      </c>
      <c r="C383" s="24">
        <v>40</v>
      </c>
      <c r="D383" s="24" t="s">
        <v>24</v>
      </c>
      <c r="E383" s="74">
        <f>SUM(F383:H383)</f>
        <v>43.49</v>
      </c>
      <c r="F383" s="74">
        <v>4.28</v>
      </c>
      <c r="G383" s="74">
        <v>6.44</v>
      </c>
      <c r="H383" s="74">
        <v>32.77</v>
      </c>
      <c r="I383" s="32">
        <v>2278.59</v>
      </c>
      <c r="J383" s="74">
        <v>32.77</v>
      </c>
      <c r="K383" s="32">
        <v>2278.59</v>
      </c>
      <c r="L383" s="55">
        <f>J383/K383</f>
        <v>0.014381700964192768</v>
      </c>
      <c r="M383" s="29">
        <v>206.1</v>
      </c>
      <c r="N383" s="57">
        <f>L383*M383</f>
        <v>2.9640685687201294</v>
      </c>
      <c r="O383" s="57">
        <f>L383*60*1000</f>
        <v>862.902057851566</v>
      </c>
      <c r="P383" s="56">
        <f>O383*M383/1000</f>
        <v>177.84411412320776</v>
      </c>
      <c r="R383" s="10"/>
      <c r="S383" s="10"/>
    </row>
    <row r="384" spans="1:19" s="9" customFormat="1" ht="12.75">
      <c r="A384" s="271"/>
      <c r="B384" s="54" t="s">
        <v>536</v>
      </c>
      <c r="C384" s="27">
        <v>4</v>
      </c>
      <c r="D384" s="27">
        <v>1930</v>
      </c>
      <c r="E384" s="33">
        <v>5.7</v>
      </c>
      <c r="F384" s="33">
        <v>0.2</v>
      </c>
      <c r="G384" s="33">
        <v>0.6</v>
      </c>
      <c r="H384" s="33">
        <v>4.9</v>
      </c>
      <c r="I384" s="37">
        <v>340</v>
      </c>
      <c r="J384" s="33">
        <v>4.9</v>
      </c>
      <c r="K384" s="37">
        <v>340</v>
      </c>
      <c r="L384" s="55">
        <f>J384/K384</f>
        <v>0.014411764705882355</v>
      </c>
      <c r="M384" s="29">
        <v>250.6</v>
      </c>
      <c r="N384" s="57">
        <f>L384*M384</f>
        <v>3.611588235294118</v>
      </c>
      <c r="O384" s="57">
        <f>L384*60*1000</f>
        <v>864.7058823529413</v>
      </c>
      <c r="P384" s="56">
        <f>O384*M384/1000</f>
        <v>216.6952941176471</v>
      </c>
      <c r="Q384" s="11"/>
      <c r="R384" s="10"/>
      <c r="S384" s="10"/>
    </row>
    <row r="385" spans="1:19" s="9" customFormat="1" ht="12.75">
      <c r="A385" s="271"/>
      <c r="B385" s="54" t="s">
        <v>899</v>
      </c>
      <c r="C385" s="27">
        <v>35</v>
      </c>
      <c r="D385" s="27" t="s">
        <v>892</v>
      </c>
      <c r="E385" s="33">
        <v>39.475</v>
      </c>
      <c r="F385" s="33">
        <v>3.51</v>
      </c>
      <c r="G385" s="33">
        <v>5.28</v>
      </c>
      <c r="H385" s="33">
        <v>30.685</v>
      </c>
      <c r="I385" s="257"/>
      <c r="J385" s="33">
        <v>30.685</v>
      </c>
      <c r="K385" s="37">
        <v>2125.33</v>
      </c>
      <c r="L385" s="55">
        <f>J385/K385</f>
        <v>0.014437757901125942</v>
      </c>
      <c r="M385" s="29">
        <v>276.97</v>
      </c>
      <c r="N385" s="57">
        <f>L385*M385</f>
        <v>3.9988258058748527</v>
      </c>
      <c r="O385" s="57">
        <f>L385*60*1000</f>
        <v>866.2654740675565</v>
      </c>
      <c r="P385" s="56">
        <f>O385*M385/1000</f>
        <v>239.92954835249114</v>
      </c>
      <c r="R385" s="10"/>
      <c r="S385" s="10"/>
    </row>
    <row r="386" spans="1:16" s="9" customFormat="1" ht="12.75" customHeight="1">
      <c r="A386" s="271"/>
      <c r="B386" s="54" t="s">
        <v>900</v>
      </c>
      <c r="C386" s="27">
        <v>55</v>
      </c>
      <c r="D386" s="27" t="s">
        <v>892</v>
      </c>
      <c r="E386" s="33">
        <v>49.707</v>
      </c>
      <c r="F386" s="33">
        <v>5.165</v>
      </c>
      <c r="G386" s="33">
        <v>8.8</v>
      </c>
      <c r="H386" s="33">
        <v>35.742</v>
      </c>
      <c r="I386" s="257"/>
      <c r="J386" s="33">
        <v>35.742</v>
      </c>
      <c r="K386" s="37">
        <v>2472.96</v>
      </c>
      <c r="L386" s="55">
        <f>J386/K386</f>
        <v>0.014453124999999999</v>
      </c>
      <c r="M386" s="29">
        <v>276.97</v>
      </c>
      <c r="N386" s="57">
        <f>L386*M386</f>
        <v>4.00308203125</v>
      </c>
      <c r="O386" s="57">
        <f>L386*60*1000</f>
        <v>867.1874999999999</v>
      </c>
      <c r="P386" s="56">
        <f>O386*M386/1000</f>
        <v>240.184921875</v>
      </c>
    </row>
    <row r="387" spans="1:19" s="9" customFormat="1" ht="12.75" customHeight="1">
      <c r="A387" s="271"/>
      <c r="B387" s="54" t="s">
        <v>963</v>
      </c>
      <c r="C387" s="27">
        <v>45</v>
      </c>
      <c r="D387" s="27">
        <v>1976</v>
      </c>
      <c r="E387" s="33">
        <v>45.671</v>
      </c>
      <c r="F387" s="33">
        <v>4.828</v>
      </c>
      <c r="G387" s="33">
        <v>7.2</v>
      </c>
      <c r="H387" s="33">
        <v>33.643</v>
      </c>
      <c r="I387" s="37">
        <v>232.8</v>
      </c>
      <c r="J387" s="33">
        <v>33.643</v>
      </c>
      <c r="K387" s="37">
        <v>2321.8</v>
      </c>
      <c r="L387" s="55">
        <f>J387/K387</f>
        <v>0.014490050822637608</v>
      </c>
      <c r="M387" s="29">
        <v>298.987</v>
      </c>
      <c r="N387" s="57">
        <f>L387*M387</f>
        <v>4.332336825307951</v>
      </c>
      <c r="O387" s="57">
        <f>L387*60*1000</f>
        <v>869.4030493582566</v>
      </c>
      <c r="P387" s="56">
        <f>O387*M387/1000</f>
        <v>259.9402095184771</v>
      </c>
      <c r="Q387" s="11"/>
      <c r="R387" s="10"/>
      <c r="S387" s="10"/>
    </row>
    <row r="388" spans="1:19" s="9" customFormat="1" ht="12.75">
      <c r="A388" s="271"/>
      <c r="B388" s="43" t="s">
        <v>987</v>
      </c>
      <c r="C388" s="24">
        <v>27</v>
      </c>
      <c r="D388" s="24">
        <v>1974</v>
      </c>
      <c r="E388" s="74">
        <v>27</v>
      </c>
      <c r="F388" s="74">
        <v>2.14</v>
      </c>
      <c r="G388" s="74">
        <v>4.32</v>
      </c>
      <c r="H388" s="74">
        <v>20.54</v>
      </c>
      <c r="I388" s="32">
        <v>1417</v>
      </c>
      <c r="J388" s="74">
        <v>20.54</v>
      </c>
      <c r="K388" s="32">
        <v>1417</v>
      </c>
      <c r="L388" s="44">
        <f>H388/K388</f>
        <v>0.014495412844036697</v>
      </c>
      <c r="M388" s="26">
        <v>228.46</v>
      </c>
      <c r="N388" s="26">
        <f>L388*M388</f>
        <v>3.311622018348624</v>
      </c>
      <c r="O388" s="26">
        <f>L388*60*1000</f>
        <v>869.7247706422019</v>
      </c>
      <c r="P388" s="45">
        <f>N388*60</f>
        <v>198.69732110091743</v>
      </c>
      <c r="R388" s="10"/>
      <c r="S388" s="10"/>
    </row>
    <row r="389" spans="1:19" s="9" customFormat="1" ht="11.25" customHeight="1">
      <c r="A389" s="271"/>
      <c r="B389" s="54" t="s">
        <v>839</v>
      </c>
      <c r="C389" s="27">
        <v>12</v>
      </c>
      <c r="D389" s="27">
        <v>1985</v>
      </c>
      <c r="E389" s="33">
        <v>12.628</v>
      </c>
      <c r="F389" s="33">
        <v>0.963</v>
      </c>
      <c r="G389" s="33">
        <v>1.76</v>
      </c>
      <c r="H389" s="33">
        <v>9.905</v>
      </c>
      <c r="I389" s="82" t="s">
        <v>838</v>
      </c>
      <c r="J389" s="33">
        <v>9.904</v>
      </c>
      <c r="K389" s="37">
        <v>680.43</v>
      </c>
      <c r="L389" s="55">
        <f>J389/K389</f>
        <v>0.014555501668062843</v>
      </c>
      <c r="M389" s="29">
        <v>346.4</v>
      </c>
      <c r="N389" s="57">
        <f>L389*M389</f>
        <v>5.042025777816969</v>
      </c>
      <c r="O389" s="57">
        <f>L389*60*1000</f>
        <v>873.3301000837705</v>
      </c>
      <c r="P389" s="56">
        <f>O389*M389/1000</f>
        <v>302.5215466690181</v>
      </c>
      <c r="R389" s="10"/>
      <c r="S389" s="10"/>
    </row>
    <row r="390" spans="1:19" s="9" customFormat="1" ht="12.75" customHeight="1">
      <c r="A390" s="271"/>
      <c r="B390" s="54" t="s">
        <v>901</v>
      </c>
      <c r="C390" s="37">
        <v>10</v>
      </c>
      <c r="D390" s="27" t="s">
        <v>892</v>
      </c>
      <c r="E390" s="33">
        <v>12.819</v>
      </c>
      <c r="F390" s="33">
        <v>0.889</v>
      </c>
      <c r="G390" s="33">
        <v>1.6</v>
      </c>
      <c r="H390" s="33">
        <v>10.33</v>
      </c>
      <c r="I390" s="230"/>
      <c r="J390" s="33">
        <v>10.33</v>
      </c>
      <c r="K390" s="37">
        <v>705.87</v>
      </c>
      <c r="L390" s="55">
        <f>J390/K390</f>
        <v>0.014634422769065125</v>
      </c>
      <c r="M390" s="29">
        <v>276.97</v>
      </c>
      <c r="N390" s="57">
        <f>L390*M390</f>
        <v>4.053296074347968</v>
      </c>
      <c r="O390" s="57">
        <f>L390*60*1000</f>
        <v>878.0653661439076</v>
      </c>
      <c r="P390" s="56">
        <f>O390*M390/1000</f>
        <v>243.1977644608781</v>
      </c>
      <c r="R390" s="39"/>
      <c r="S390" s="10"/>
    </row>
    <row r="391" spans="1:19" s="9" customFormat="1" ht="12.75" customHeight="1">
      <c r="A391" s="271"/>
      <c r="B391" s="186" t="s">
        <v>840</v>
      </c>
      <c r="C391" s="166">
        <v>22</v>
      </c>
      <c r="D391" s="166">
        <v>1983</v>
      </c>
      <c r="E391" s="142">
        <v>24.42</v>
      </c>
      <c r="F391" s="142">
        <v>3.285</v>
      </c>
      <c r="G391" s="142">
        <v>3.52</v>
      </c>
      <c r="H391" s="142">
        <v>17.615</v>
      </c>
      <c r="I391" s="340" t="s">
        <v>827</v>
      </c>
      <c r="J391" s="142">
        <v>17.615</v>
      </c>
      <c r="K391" s="143">
        <v>1202.98</v>
      </c>
      <c r="L391" s="144">
        <f>J391/K391</f>
        <v>0.01464280370413473</v>
      </c>
      <c r="M391" s="145">
        <v>346.4</v>
      </c>
      <c r="N391" s="146">
        <f>L391*M391</f>
        <v>5.07226720311227</v>
      </c>
      <c r="O391" s="146">
        <f>L391*60*1000</f>
        <v>878.5682222480839</v>
      </c>
      <c r="P391" s="147">
        <f>O391*M391/1000</f>
        <v>304.33603218673625</v>
      </c>
      <c r="R391" s="10"/>
      <c r="S391" s="10"/>
    </row>
    <row r="392" spans="1:19" s="9" customFormat="1" ht="12.75" customHeight="1">
      <c r="A392" s="271"/>
      <c r="B392" s="54" t="s">
        <v>752</v>
      </c>
      <c r="C392" s="27">
        <v>45</v>
      </c>
      <c r="D392" s="27">
        <v>1976</v>
      </c>
      <c r="E392" s="33">
        <f>F392+G392+H392</f>
        <v>44.426300000000005</v>
      </c>
      <c r="F392" s="33">
        <v>3.3893</v>
      </c>
      <c r="G392" s="33">
        <v>7.2</v>
      </c>
      <c r="H392" s="33">
        <v>33.837</v>
      </c>
      <c r="I392" s="37">
        <v>2304</v>
      </c>
      <c r="J392" s="33">
        <f>H392</f>
        <v>33.837</v>
      </c>
      <c r="K392" s="37">
        <f>I392</f>
        <v>2304</v>
      </c>
      <c r="L392" s="55">
        <f>J392/K392</f>
        <v>0.014686197916666668</v>
      </c>
      <c r="M392" s="29">
        <v>206.9</v>
      </c>
      <c r="N392" s="57">
        <f>L392*M392</f>
        <v>3.0385743489583334</v>
      </c>
      <c r="O392" s="57">
        <f>L392*60*1000</f>
        <v>881.171875</v>
      </c>
      <c r="P392" s="56">
        <f>O392*M392/1000</f>
        <v>182.3144609375</v>
      </c>
      <c r="Q392" s="11"/>
      <c r="R392" s="10"/>
      <c r="S392" s="10"/>
    </row>
    <row r="393" spans="1:19" s="9" customFormat="1" ht="12.75" customHeight="1">
      <c r="A393" s="271"/>
      <c r="B393" s="328" t="s">
        <v>167</v>
      </c>
      <c r="C393" s="333">
        <v>40</v>
      </c>
      <c r="D393" s="333">
        <v>1973</v>
      </c>
      <c r="E393" s="338">
        <v>47.5</v>
      </c>
      <c r="F393" s="338">
        <v>3.62</v>
      </c>
      <c r="G393" s="338">
        <v>6.16</v>
      </c>
      <c r="H393" s="338">
        <f>E393-F393-G393</f>
        <v>37.72</v>
      </c>
      <c r="I393" s="344">
        <v>2565.4</v>
      </c>
      <c r="J393" s="338">
        <v>37.72</v>
      </c>
      <c r="K393" s="344">
        <v>2565.4</v>
      </c>
      <c r="L393" s="349">
        <f>J393/K393</f>
        <v>0.014703360099789505</v>
      </c>
      <c r="M393" s="353">
        <v>264.761</v>
      </c>
      <c r="N393" s="353">
        <f>L393*M393</f>
        <v>3.8928763233803694</v>
      </c>
      <c r="O393" s="353">
        <f>L393*1000*60</f>
        <v>882.2016059873703</v>
      </c>
      <c r="P393" s="363">
        <f>N393*60</f>
        <v>233.57257940282216</v>
      </c>
      <c r="R393" s="39"/>
      <c r="S393" s="10"/>
    </row>
    <row r="394" spans="1:19" s="9" customFormat="1" ht="12.75" customHeight="1">
      <c r="A394" s="271"/>
      <c r="B394" s="54" t="s">
        <v>535</v>
      </c>
      <c r="C394" s="27">
        <v>60</v>
      </c>
      <c r="D394" s="27">
        <v>1978</v>
      </c>
      <c r="E394" s="33">
        <v>61.1</v>
      </c>
      <c r="F394" s="33">
        <v>6.1</v>
      </c>
      <c r="G394" s="33">
        <v>9.6</v>
      </c>
      <c r="H394" s="33">
        <v>45.4</v>
      </c>
      <c r="I394" s="37">
        <v>3080</v>
      </c>
      <c r="J394" s="33">
        <v>45.4</v>
      </c>
      <c r="K394" s="37">
        <v>3080</v>
      </c>
      <c r="L394" s="55">
        <f>J394/K394</f>
        <v>0.01474025974025974</v>
      </c>
      <c r="M394" s="29">
        <v>250.6</v>
      </c>
      <c r="N394" s="57">
        <f>L394*M394</f>
        <v>3.6939090909090906</v>
      </c>
      <c r="O394" s="57">
        <f>L394*60*1000</f>
        <v>884.4155844155844</v>
      </c>
      <c r="P394" s="56">
        <f>O394*M394/1000</f>
        <v>221.63454545454545</v>
      </c>
      <c r="R394" s="10"/>
      <c r="S394" s="10"/>
    </row>
    <row r="395" spans="1:19" s="9" customFormat="1" ht="12.75" customHeight="1">
      <c r="A395" s="271"/>
      <c r="B395" s="365" t="s">
        <v>1017</v>
      </c>
      <c r="C395" s="366">
        <v>48</v>
      </c>
      <c r="D395" s="367" t="s">
        <v>24</v>
      </c>
      <c r="E395" s="298">
        <v>34.551</v>
      </c>
      <c r="F395" s="298">
        <v>5.6</v>
      </c>
      <c r="G395" s="368">
        <v>0.5</v>
      </c>
      <c r="H395" s="298">
        <v>28.45</v>
      </c>
      <c r="I395" s="369">
        <v>1973.26</v>
      </c>
      <c r="J395" s="298">
        <v>27.88</v>
      </c>
      <c r="K395" s="370">
        <v>1889.6</v>
      </c>
      <c r="L395" s="55">
        <f>J395/K395</f>
        <v>0.014754445385266723</v>
      </c>
      <c r="M395" s="29">
        <v>269.2</v>
      </c>
      <c r="N395" s="57">
        <f>L395*M395</f>
        <v>3.9718966977138015</v>
      </c>
      <c r="O395" s="57">
        <f>L395*60*1000</f>
        <v>885.2667231160034</v>
      </c>
      <c r="P395" s="56">
        <f>O395*M395/1000</f>
        <v>238.31380186282811</v>
      </c>
      <c r="Q395" s="11"/>
      <c r="R395" s="10"/>
      <c r="S395" s="10"/>
    </row>
    <row r="396" spans="1:19" s="9" customFormat="1" ht="12.75" customHeight="1">
      <c r="A396" s="271"/>
      <c r="B396" s="54" t="s">
        <v>964</v>
      </c>
      <c r="C396" s="27">
        <v>29</v>
      </c>
      <c r="D396" s="27">
        <v>1986</v>
      </c>
      <c r="E396" s="33">
        <v>30.151</v>
      </c>
      <c r="F396" s="33">
        <v>3.934</v>
      </c>
      <c r="G396" s="33">
        <v>4.32</v>
      </c>
      <c r="H396" s="33">
        <v>21.897</v>
      </c>
      <c r="I396" s="37">
        <v>1577.48</v>
      </c>
      <c r="J396" s="33">
        <v>21.616</v>
      </c>
      <c r="K396" s="37">
        <v>1464.93</v>
      </c>
      <c r="L396" s="55">
        <f>J396/K396</f>
        <v>0.014755653853767757</v>
      </c>
      <c r="M396" s="29">
        <v>298.987</v>
      </c>
      <c r="N396" s="57">
        <f>L396*M396</f>
        <v>4.411748678776461</v>
      </c>
      <c r="O396" s="57">
        <f>L396*60*1000</f>
        <v>885.3392312260654</v>
      </c>
      <c r="P396" s="56">
        <f>O396*M396/1000</f>
        <v>264.70492072658766</v>
      </c>
      <c r="R396" s="10"/>
      <c r="S396" s="10"/>
    </row>
    <row r="397" spans="1:19" s="9" customFormat="1" ht="13.5" customHeight="1">
      <c r="A397" s="271"/>
      <c r="B397" s="43" t="s">
        <v>380</v>
      </c>
      <c r="C397" s="24">
        <v>16</v>
      </c>
      <c r="D397" s="24">
        <v>1991</v>
      </c>
      <c r="E397" s="74">
        <f>SUM(F397+G397+H397)</f>
        <v>20.8</v>
      </c>
      <c r="F397" s="74">
        <v>2.4</v>
      </c>
      <c r="G397" s="74">
        <v>2.6</v>
      </c>
      <c r="H397" s="74">
        <v>15.8</v>
      </c>
      <c r="I397" s="32">
        <v>1070.04</v>
      </c>
      <c r="J397" s="74">
        <v>15.8</v>
      </c>
      <c r="K397" s="32">
        <v>1070.04</v>
      </c>
      <c r="L397" s="44">
        <f>SUM(J397/K397)</f>
        <v>0.014765803147545888</v>
      </c>
      <c r="M397" s="26">
        <v>215.8</v>
      </c>
      <c r="N397" s="26">
        <f>SUM(L397*M397)</f>
        <v>3.186460319240403</v>
      </c>
      <c r="O397" s="26">
        <f>L397*60*1000</f>
        <v>885.9481888527533</v>
      </c>
      <c r="P397" s="45">
        <f>SUM(N397*60)</f>
        <v>191.18761915442417</v>
      </c>
      <c r="R397" s="10"/>
      <c r="S397" s="10"/>
    </row>
    <row r="398" spans="1:19" s="9" customFormat="1" ht="13.5" customHeight="1">
      <c r="A398" s="271"/>
      <c r="B398" s="54" t="s">
        <v>753</v>
      </c>
      <c r="C398" s="27">
        <v>40</v>
      </c>
      <c r="D398" s="27">
        <v>1985</v>
      </c>
      <c r="E398" s="33">
        <f>F398+G398+H398</f>
        <v>43.7</v>
      </c>
      <c r="F398" s="33">
        <v>4.254</v>
      </c>
      <c r="G398" s="33">
        <v>6.4</v>
      </c>
      <c r="H398" s="33">
        <v>33.046</v>
      </c>
      <c r="I398" s="37">
        <v>2237.4</v>
      </c>
      <c r="J398" s="33">
        <f>H398</f>
        <v>33.046</v>
      </c>
      <c r="K398" s="37">
        <f>I398</f>
        <v>2237.4</v>
      </c>
      <c r="L398" s="55">
        <f>J398/K398</f>
        <v>0.014769822114954858</v>
      </c>
      <c r="M398" s="29">
        <v>206.9</v>
      </c>
      <c r="N398" s="57">
        <f>L398*M398</f>
        <v>3.0558761955841605</v>
      </c>
      <c r="O398" s="57">
        <f>L398*60*1000</f>
        <v>886.1893268972915</v>
      </c>
      <c r="P398" s="56">
        <f>O398*M398/1000</f>
        <v>183.35257173504962</v>
      </c>
      <c r="R398" s="10"/>
      <c r="S398" s="10"/>
    </row>
    <row r="399" spans="1:19" s="9" customFormat="1" ht="12.75" customHeight="1">
      <c r="A399" s="271"/>
      <c r="B399" s="54" t="s">
        <v>556</v>
      </c>
      <c r="C399" s="27">
        <v>41</v>
      </c>
      <c r="D399" s="27" t="s">
        <v>156</v>
      </c>
      <c r="E399" s="230"/>
      <c r="F399" s="33">
        <v>2.941884</v>
      </c>
      <c r="G399" s="33">
        <v>6.32</v>
      </c>
      <c r="H399" s="33">
        <v>33.255317</v>
      </c>
      <c r="I399" s="37">
        <v>2247.74</v>
      </c>
      <c r="J399" s="33">
        <v>33.255317</v>
      </c>
      <c r="K399" s="37">
        <v>2247.74</v>
      </c>
      <c r="L399" s="55">
        <f>J399/K399</f>
        <v>0.01479500164609786</v>
      </c>
      <c r="M399" s="29">
        <v>279.803</v>
      </c>
      <c r="N399" s="57">
        <f>L399*M399</f>
        <v>4.139685845583119</v>
      </c>
      <c r="O399" s="57">
        <f>L399*60*1000</f>
        <v>887.7000987658715</v>
      </c>
      <c r="P399" s="56">
        <f>O399*M399/1000</f>
        <v>248.38115073498713</v>
      </c>
      <c r="R399" s="10"/>
      <c r="S399" s="10"/>
    </row>
    <row r="400" spans="1:19" s="9" customFormat="1" ht="12.75">
      <c r="A400" s="271"/>
      <c r="B400" s="83" t="s">
        <v>608</v>
      </c>
      <c r="C400" s="27">
        <v>30</v>
      </c>
      <c r="D400" s="27">
        <v>1988</v>
      </c>
      <c r="E400" s="33">
        <v>29.996</v>
      </c>
      <c r="F400" s="33">
        <v>2.776</v>
      </c>
      <c r="G400" s="33">
        <v>4.8</v>
      </c>
      <c r="H400" s="33">
        <v>22.42</v>
      </c>
      <c r="I400" s="29">
        <v>1509.1</v>
      </c>
      <c r="J400" s="33">
        <v>22.42</v>
      </c>
      <c r="K400" s="29">
        <v>1509.1</v>
      </c>
      <c r="L400" s="55">
        <f>J400/K400</f>
        <v>0.014856537008813201</v>
      </c>
      <c r="M400" s="29">
        <v>302.3</v>
      </c>
      <c r="N400" s="57">
        <f>L400*M400</f>
        <v>4.491131137764231</v>
      </c>
      <c r="O400" s="57">
        <f>L400*60*1000</f>
        <v>891.3922205287921</v>
      </c>
      <c r="P400" s="56">
        <f>O400*M400/1000</f>
        <v>269.46786826585384</v>
      </c>
      <c r="Q400" s="11"/>
      <c r="R400" s="10"/>
      <c r="S400" s="10"/>
    </row>
    <row r="401" spans="1:16" s="9" customFormat="1" ht="12.75" customHeight="1">
      <c r="A401" s="271"/>
      <c r="B401" s="54" t="s">
        <v>374</v>
      </c>
      <c r="C401" s="27">
        <v>60</v>
      </c>
      <c r="D401" s="27">
        <v>1984</v>
      </c>
      <c r="E401" s="33">
        <f>F401+G401+H401</f>
        <v>50.494</v>
      </c>
      <c r="F401" s="33">
        <v>5.062</v>
      </c>
      <c r="G401" s="33">
        <v>9.6</v>
      </c>
      <c r="H401" s="33">
        <v>35.832</v>
      </c>
      <c r="I401" s="37">
        <v>2410.813</v>
      </c>
      <c r="J401" s="33">
        <f>H401</f>
        <v>35.832</v>
      </c>
      <c r="K401" s="37">
        <f>I401</f>
        <v>2410.813</v>
      </c>
      <c r="L401" s="55">
        <f>J401/K401</f>
        <v>0.014863035830651319</v>
      </c>
      <c r="M401" s="29">
        <v>206.9</v>
      </c>
      <c r="N401" s="57">
        <f>L401*M401</f>
        <v>3.075162113361758</v>
      </c>
      <c r="O401" s="57">
        <f>L401*60*1000</f>
        <v>891.7821498390791</v>
      </c>
      <c r="P401" s="56">
        <f>O401*M401/1000</f>
        <v>184.50972680170548</v>
      </c>
    </row>
    <row r="402" spans="1:19" s="9" customFormat="1" ht="12.75">
      <c r="A402" s="271"/>
      <c r="B402" s="54" t="s">
        <v>543</v>
      </c>
      <c r="C402" s="27">
        <v>5</v>
      </c>
      <c r="D402" s="27">
        <v>1930</v>
      </c>
      <c r="E402" s="33">
        <v>4.4</v>
      </c>
      <c r="F402" s="33">
        <v>1</v>
      </c>
      <c r="G402" s="33">
        <v>0.4</v>
      </c>
      <c r="H402" s="33">
        <v>3.3</v>
      </c>
      <c r="I402" s="37">
        <v>222</v>
      </c>
      <c r="J402" s="33">
        <v>3.3</v>
      </c>
      <c r="K402" s="37">
        <v>222</v>
      </c>
      <c r="L402" s="55">
        <f>J402/K402</f>
        <v>0.014864864864864864</v>
      </c>
      <c r="M402" s="29">
        <v>250.6</v>
      </c>
      <c r="N402" s="57">
        <f>L402*M402</f>
        <v>3.725135135135135</v>
      </c>
      <c r="O402" s="57">
        <f>L402*60*1000</f>
        <v>891.8918918918919</v>
      </c>
      <c r="P402" s="56">
        <f>O402*M402/1000</f>
        <v>223.5081081081081</v>
      </c>
      <c r="R402" s="10"/>
      <c r="S402" s="10"/>
    </row>
    <row r="403" spans="1:19" s="9" customFormat="1" ht="12.75">
      <c r="A403" s="271"/>
      <c r="B403" s="54" t="s">
        <v>878</v>
      </c>
      <c r="C403" s="27">
        <v>91</v>
      </c>
      <c r="D403" s="27" t="s">
        <v>156</v>
      </c>
      <c r="E403" s="230"/>
      <c r="F403" s="33">
        <v>6.104016</v>
      </c>
      <c r="G403" s="33">
        <v>11.92</v>
      </c>
      <c r="H403" s="33">
        <v>66.626393</v>
      </c>
      <c r="I403" s="37">
        <v>4482.03</v>
      </c>
      <c r="J403" s="33">
        <v>66.626393</v>
      </c>
      <c r="K403" s="37">
        <v>4482.03</v>
      </c>
      <c r="L403" s="55">
        <f>J403/K403</f>
        <v>0.014865226917267398</v>
      </c>
      <c r="M403" s="29">
        <v>279.803</v>
      </c>
      <c r="N403" s="57">
        <f>L403*M403</f>
        <v>4.1593350871321695</v>
      </c>
      <c r="O403" s="57">
        <f>L403*60*1000</f>
        <v>891.9136150360438</v>
      </c>
      <c r="P403" s="56">
        <f>O403*M403/1000</f>
        <v>249.56010522793014</v>
      </c>
      <c r="Q403" s="11"/>
      <c r="R403" s="10"/>
      <c r="S403" s="10"/>
    </row>
    <row r="404" spans="1:19" s="9" customFormat="1" ht="12.75">
      <c r="A404" s="271"/>
      <c r="B404" s="43" t="s">
        <v>57</v>
      </c>
      <c r="C404" s="24">
        <v>59</v>
      </c>
      <c r="D404" s="24">
        <v>1981</v>
      </c>
      <c r="E404" s="74">
        <v>68.41</v>
      </c>
      <c r="F404" s="74">
        <v>7.88</v>
      </c>
      <c r="G404" s="74">
        <v>9.6</v>
      </c>
      <c r="H404" s="74">
        <f>E404-F404-G404</f>
        <v>50.92999999999999</v>
      </c>
      <c r="I404" s="32">
        <v>3418.8</v>
      </c>
      <c r="J404" s="74">
        <f>H404/I404*K404</f>
        <v>49.99446589446588</v>
      </c>
      <c r="K404" s="24">
        <v>3356</v>
      </c>
      <c r="L404" s="44">
        <f>J404/K404</f>
        <v>0.014897039897039893</v>
      </c>
      <c r="M404" s="139">
        <f>294.4*1.09</f>
        <v>320.896</v>
      </c>
      <c r="N404" s="26">
        <f>L404*M404</f>
        <v>4.7804005148005135</v>
      </c>
      <c r="O404" s="26">
        <f>L404*60*1000</f>
        <v>893.8223938223936</v>
      </c>
      <c r="P404" s="45">
        <f>O404*M404/1000</f>
        <v>286.82403088803085</v>
      </c>
      <c r="Q404" s="11"/>
      <c r="R404" s="10"/>
      <c r="S404" s="10"/>
    </row>
    <row r="405" spans="1:19" s="9" customFormat="1" ht="12.75">
      <c r="A405" s="271"/>
      <c r="B405" s="54" t="s">
        <v>754</v>
      </c>
      <c r="C405" s="27">
        <v>45</v>
      </c>
      <c r="D405" s="27">
        <v>1970</v>
      </c>
      <c r="E405" s="33">
        <f>F405+G405+H405</f>
        <v>38.141999999999996</v>
      </c>
      <c r="F405" s="33">
        <v>2.423</v>
      </c>
      <c r="G405" s="33">
        <v>7.2</v>
      </c>
      <c r="H405" s="33">
        <v>28.519</v>
      </c>
      <c r="I405" s="37">
        <v>1913.38</v>
      </c>
      <c r="J405" s="33">
        <f>H405</f>
        <v>28.519</v>
      </c>
      <c r="K405" s="37">
        <f>I405</f>
        <v>1913.38</v>
      </c>
      <c r="L405" s="55">
        <f>J405/K405</f>
        <v>0.014905037159372417</v>
      </c>
      <c r="M405" s="29">
        <v>206.9</v>
      </c>
      <c r="N405" s="57">
        <f>L405*M405</f>
        <v>3.0838521882741534</v>
      </c>
      <c r="O405" s="57">
        <f>L405*60*1000</f>
        <v>894.302229562345</v>
      </c>
      <c r="P405" s="56">
        <f>O405*M405/1000</f>
        <v>185.0311312964492</v>
      </c>
      <c r="R405" s="10"/>
      <c r="S405" s="10"/>
    </row>
    <row r="406" spans="1:19" s="9" customFormat="1" ht="12.75">
      <c r="A406" s="271"/>
      <c r="B406" s="54" t="s">
        <v>965</v>
      </c>
      <c r="C406" s="27">
        <v>12</v>
      </c>
      <c r="D406" s="27">
        <v>1964</v>
      </c>
      <c r="E406" s="33">
        <v>11.447</v>
      </c>
      <c r="F406" s="33">
        <v>1.49</v>
      </c>
      <c r="G406" s="33">
        <v>1.92</v>
      </c>
      <c r="H406" s="33">
        <v>8.037</v>
      </c>
      <c r="I406" s="37">
        <v>539.13</v>
      </c>
      <c r="J406" s="33">
        <v>7.382</v>
      </c>
      <c r="K406" s="37">
        <v>495.17</v>
      </c>
      <c r="L406" s="55">
        <f>J406/K406</f>
        <v>0.014908011390027667</v>
      </c>
      <c r="M406" s="29">
        <v>298.987</v>
      </c>
      <c r="N406" s="57">
        <f>L406*M406</f>
        <v>4.457301601470203</v>
      </c>
      <c r="O406" s="57">
        <f>L406*60*1000</f>
        <v>894.48068340166</v>
      </c>
      <c r="P406" s="56">
        <f>O406*M406/1000</f>
        <v>267.43809608821215</v>
      </c>
      <c r="R406" s="10"/>
      <c r="S406" s="10"/>
    </row>
    <row r="407" spans="1:19" s="9" customFormat="1" ht="12.75">
      <c r="A407" s="271"/>
      <c r="B407" s="54" t="s">
        <v>966</v>
      </c>
      <c r="C407" s="27">
        <v>40</v>
      </c>
      <c r="D407" s="27">
        <v>1991</v>
      </c>
      <c r="E407" s="33">
        <v>43.457</v>
      </c>
      <c r="F407" s="33">
        <v>3.179</v>
      </c>
      <c r="G407" s="33">
        <v>6.4</v>
      </c>
      <c r="H407" s="33">
        <v>33.878</v>
      </c>
      <c r="I407" s="37">
        <v>2268.53</v>
      </c>
      <c r="J407" s="33">
        <v>33.878</v>
      </c>
      <c r="K407" s="37">
        <v>2268.53</v>
      </c>
      <c r="L407" s="55">
        <f>J407/K407</f>
        <v>0.014933899926384045</v>
      </c>
      <c r="M407" s="29">
        <v>298.987</v>
      </c>
      <c r="N407" s="57">
        <f>L407*M407</f>
        <v>4.4650419372897865</v>
      </c>
      <c r="O407" s="57">
        <f>L407*60*1000</f>
        <v>896.0339955830426</v>
      </c>
      <c r="P407" s="56">
        <f>O407*M407/1000</f>
        <v>267.9025162373872</v>
      </c>
      <c r="Q407" s="11"/>
      <c r="R407" s="10"/>
      <c r="S407" s="10"/>
    </row>
    <row r="408" spans="1:19" s="9" customFormat="1" ht="12.75">
      <c r="A408" s="271"/>
      <c r="B408" s="54" t="s">
        <v>766</v>
      </c>
      <c r="C408" s="27">
        <v>20</v>
      </c>
      <c r="D408" s="27">
        <v>1991</v>
      </c>
      <c r="E408" s="33">
        <v>23.7</v>
      </c>
      <c r="F408" s="33">
        <v>3.135</v>
      </c>
      <c r="G408" s="33">
        <v>3.2</v>
      </c>
      <c r="H408" s="33">
        <v>17.365</v>
      </c>
      <c r="I408" s="37">
        <v>1165.09</v>
      </c>
      <c r="J408" s="33">
        <v>17.4</v>
      </c>
      <c r="K408" s="37">
        <v>1165.1</v>
      </c>
      <c r="L408" s="55">
        <f>J408/K408</f>
        <v>0.014934340399965667</v>
      </c>
      <c r="M408" s="29">
        <v>224.1</v>
      </c>
      <c r="N408" s="57">
        <f>L408*M408</f>
        <v>3.346785683632306</v>
      </c>
      <c r="O408" s="57">
        <f>L408*60*1000</f>
        <v>896.06042399794</v>
      </c>
      <c r="P408" s="56">
        <f>O408*M408/1000</f>
        <v>200.80714101793836</v>
      </c>
      <c r="R408" s="10"/>
      <c r="S408" s="10"/>
    </row>
    <row r="409" spans="1:16" s="9" customFormat="1" ht="12.75" customHeight="1">
      <c r="A409" s="271"/>
      <c r="B409" s="54" t="s">
        <v>707</v>
      </c>
      <c r="C409" s="27">
        <v>100</v>
      </c>
      <c r="D409" s="27" t="s">
        <v>24</v>
      </c>
      <c r="E409" s="33">
        <v>76.72</v>
      </c>
      <c r="F409" s="33">
        <v>5.41</v>
      </c>
      <c r="G409" s="33">
        <v>15.84</v>
      </c>
      <c r="H409" s="33">
        <v>55.47</v>
      </c>
      <c r="I409" s="37">
        <v>3714</v>
      </c>
      <c r="J409" s="33">
        <v>55.47</v>
      </c>
      <c r="K409" s="37">
        <v>3714</v>
      </c>
      <c r="L409" s="55">
        <f>J409/K409</f>
        <v>0.014935379644588045</v>
      </c>
      <c r="M409" s="29">
        <v>234.2</v>
      </c>
      <c r="N409" s="57">
        <f>L409*M409</f>
        <v>3.49786591276252</v>
      </c>
      <c r="O409" s="57">
        <f>L409*60*1000</f>
        <v>896.1227786752827</v>
      </c>
      <c r="P409" s="56">
        <f>O409*M409/1000</f>
        <v>209.8719547657512</v>
      </c>
    </row>
    <row r="410" spans="1:19" s="9" customFormat="1" ht="12.75">
      <c r="A410" s="271"/>
      <c r="B410" s="54" t="s">
        <v>879</v>
      </c>
      <c r="C410" s="27">
        <v>60</v>
      </c>
      <c r="D410" s="27" t="s">
        <v>156</v>
      </c>
      <c r="E410" s="230"/>
      <c r="F410" s="33">
        <v>4.08954</v>
      </c>
      <c r="G410" s="33">
        <v>8</v>
      </c>
      <c r="H410" s="33">
        <v>46.839986</v>
      </c>
      <c r="I410" s="37">
        <v>3129.7</v>
      </c>
      <c r="J410" s="33">
        <v>46.839986</v>
      </c>
      <c r="K410" s="37">
        <v>3129.7</v>
      </c>
      <c r="L410" s="55">
        <f>J410/K410</f>
        <v>0.014966286225516824</v>
      </c>
      <c r="M410" s="29">
        <v>279.803</v>
      </c>
      <c r="N410" s="57">
        <f>L410*M410</f>
        <v>4.187611784758284</v>
      </c>
      <c r="O410" s="57">
        <f>L410*60*1000</f>
        <v>897.9771735310095</v>
      </c>
      <c r="P410" s="56">
        <f>O410*M410/1000</f>
        <v>251.25670708549703</v>
      </c>
      <c r="R410" s="10"/>
      <c r="S410" s="10"/>
    </row>
    <row r="411" spans="1:19" s="9" customFormat="1" ht="12.75">
      <c r="A411" s="271"/>
      <c r="B411" s="54" t="s">
        <v>967</v>
      </c>
      <c r="C411" s="27">
        <v>55</v>
      </c>
      <c r="D411" s="27">
        <v>1985</v>
      </c>
      <c r="E411" s="33">
        <v>55.31</v>
      </c>
      <c r="F411" s="33">
        <v>6.385</v>
      </c>
      <c r="G411" s="33">
        <v>8.8</v>
      </c>
      <c r="H411" s="33">
        <v>40.125</v>
      </c>
      <c r="I411" s="37">
        <v>2679.72</v>
      </c>
      <c r="J411" s="33">
        <v>40.125</v>
      </c>
      <c r="K411" s="37">
        <v>2679.72</v>
      </c>
      <c r="L411" s="55">
        <f>J411/K411</f>
        <v>0.014973579329183646</v>
      </c>
      <c r="M411" s="29">
        <v>298.987</v>
      </c>
      <c r="N411" s="57">
        <f>L411*M411</f>
        <v>4.476905562894631</v>
      </c>
      <c r="O411" s="57">
        <f>L411*60*1000</f>
        <v>898.4147597510188</v>
      </c>
      <c r="P411" s="56">
        <f>O411*M411/1000</f>
        <v>268.61433377367786</v>
      </c>
      <c r="R411" s="10"/>
      <c r="S411" s="10"/>
    </row>
    <row r="412" spans="1:19" s="9" customFormat="1" ht="12.75">
      <c r="A412" s="271"/>
      <c r="B412" s="54" t="s">
        <v>880</v>
      </c>
      <c r="C412" s="27">
        <v>50</v>
      </c>
      <c r="D412" s="27" t="s">
        <v>156</v>
      </c>
      <c r="E412" s="230"/>
      <c r="F412" s="33">
        <v>2.13447</v>
      </c>
      <c r="G412" s="33">
        <v>7.84</v>
      </c>
      <c r="H412" s="33">
        <v>39.112857</v>
      </c>
      <c r="I412" s="37">
        <v>2611.47</v>
      </c>
      <c r="J412" s="33">
        <v>39.112857</v>
      </c>
      <c r="K412" s="37">
        <v>2611.47</v>
      </c>
      <c r="L412" s="55">
        <f>J412/K412</f>
        <v>0.014977333455869683</v>
      </c>
      <c r="M412" s="29">
        <v>279.803</v>
      </c>
      <c r="N412" s="57">
        <f>L412*M412</f>
        <v>4.190702832952705</v>
      </c>
      <c r="O412" s="57">
        <f>L412*60*1000</f>
        <v>898.640007352181</v>
      </c>
      <c r="P412" s="56">
        <f>O412*M412/1000</f>
        <v>251.4421699771623</v>
      </c>
      <c r="R412" s="10"/>
      <c r="S412" s="10"/>
    </row>
    <row r="413" spans="1:19" s="9" customFormat="1" ht="13.5" thickBot="1">
      <c r="A413" s="272"/>
      <c r="B413" s="148" t="s">
        <v>767</v>
      </c>
      <c r="C413" s="149">
        <v>41</v>
      </c>
      <c r="D413" s="149"/>
      <c r="E413" s="150">
        <v>43.6</v>
      </c>
      <c r="F413" s="150">
        <v>2.852</v>
      </c>
      <c r="G413" s="150">
        <v>6.4</v>
      </c>
      <c r="H413" s="150">
        <v>34.25</v>
      </c>
      <c r="I413" s="151">
        <v>2287.82</v>
      </c>
      <c r="J413" s="150">
        <v>34.3</v>
      </c>
      <c r="K413" s="151">
        <v>2287.8</v>
      </c>
      <c r="L413" s="77">
        <f>J413/K413</f>
        <v>0.014992569280531512</v>
      </c>
      <c r="M413" s="78">
        <v>224.1</v>
      </c>
      <c r="N413" s="79">
        <f>L413*M413</f>
        <v>3.3598347757671116</v>
      </c>
      <c r="O413" s="79">
        <f>L413*60*1000</f>
        <v>899.5541568318907</v>
      </c>
      <c r="P413" s="80">
        <f>O413*M413/1000</f>
        <v>201.59008654602673</v>
      </c>
      <c r="R413" s="10"/>
      <c r="S413" s="10"/>
    </row>
    <row r="414" spans="1:19" s="9" customFormat="1" ht="12.75" customHeight="1">
      <c r="A414" s="273" t="s">
        <v>73</v>
      </c>
      <c r="B414" s="187" t="s">
        <v>469</v>
      </c>
      <c r="C414" s="188">
        <v>60</v>
      </c>
      <c r="D414" s="188">
        <v>1983</v>
      </c>
      <c r="E414" s="154">
        <v>65.52</v>
      </c>
      <c r="F414" s="154">
        <v>7.09</v>
      </c>
      <c r="G414" s="154">
        <v>9.6</v>
      </c>
      <c r="H414" s="154">
        <v>48.8</v>
      </c>
      <c r="I414" s="266"/>
      <c r="J414" s="154">
        <f>H414</f>
        <v>48.8</v>
      </c>
      <c r="K414" s="156">
        <v>3251</v>
      </c>
      <c r="L414" s="181">
        <f>J414/K414</f>
        <v>0.015010765918179021</v>
      </c>
      <c r="M414" s="158">
        <v>187.69</v>
      </c>
      <c r="N414" s="160">
        <f>L414*M414</f>
        <v>2.8173706551830207</v>
      </c>
      <c r="O414" s="160">
        <f>L414*60*1000</f>
        <v>900.6459550907413</v>
      </c>
      <c r="P414" s="182">
        <f>O414*M414/1000</f>
        <v>169.04223931098124</v>
      </c>
      <c r="R414" s="10"/>
      <c r="S414" s="10"/>
    </row>
    <row r="415" spans="1:19" s="9" customFormat="1" ht="12.75">
      <c r="A415" s="273"/>
      <c r="B415" s="152" t="s">
        <v>881</v>
      </c>
      <c r="C415" s="97">
        <v>91</v>
      </c>
      <c r="D415" s="97" t="s">
        <v>156</v>
      </c>
      <c r="E415" s="231"/>
      <c r="F415" s="153">
        <v>4.61812</v>
      </c>
      <c r="G415" s="153">
        <v>10.42</v>
      </c>
      <c r="H415" s="153">
        <v>68.283472</v>
      </c>
      <c r="I415" s="155">
        <v>4546.17</v>
      </c>
      <c r="J415" s="153">
        <v>68.283472</v>
      </c>
      <c r="K415" s="155">
        <v>4546.17</v>
      </c>
      <c r="L415" s="157">
        <f>J415/K415</f>
        <v>0.015019999692048472</v>
      </c>
      <c r="M415" s="183">
        <v>279.803</v>
      </c>
      <c r="N415" s="159">
        <f>L415*M415</f>
        <v>4.202640973834239</v>
      </c>
      <c r="O415" s="159">
        <f>L415*60*1000</f>
        <v>901.1999815229083</v>
      </c>
      <c r="P415" s="161">
        <f>O415*M415/1000</f>
        <v>252.1584584300543</v>
      </c>
      <c r="R415" s="10"/>
      <c r="S415" s="10"/>
    </row>
    <row r="416" spans="1:19" s="9" customFormat="1" ht="12.75">
      <c r="A416" s="273"/>
      <c r="B416" s="152" t="s">
        <v>768</v>
      </c>
      <c r="C416" s="97">
        <v>35</v>
      </c>
      <c r="D416" s="97">
        <v>1965</v>
      </c>
      <c r="E416" s="153">
        <v>24.2</v>
      </c>
      <c r="F416" s="153">
        <v>2.323</v>
      </c>
      <c r="G416" s="153">
        <v>1.75</v>
      </c>
      <c r="H416" s="153">
        <v>20.067</v>
      </c>
      <c r="I416" s="155">
        <v>1324.88</v>
      </c>
      <c r="J416" s="153">
        <v>20.1</v>
      </c>
      <c r="K416" s="155">
        <v>1324.9</v>
      </c>
      <c r="L416" s="157">
        <f>J416/K416</f>
        <v>0.015170956298588573</v>
      </c>
      <c r="M416" s="183">
        <v>224.1</v>
      </c>
      <c r="N416" s="159">
        <f>L416*M416</f>
        <v>3.399811306513699</v>
      </c>
      <c r="O416" s="159">
        <f>L416*60*1000</f>
        <v>910.2573779153144</v>
      </c>
      <c r="P416" s="161">
        <f>O416*M416/1000</f>
        <v>203.98867839082195</v>
      </c>
      <c r="Q416" s="11"/>
      <c r="R416" s="10"/>
      <c r="S416" s="10"/>
    </row>
    <row r="417" spans="1:19" s="9" customFormat="1" ht="12.75">
      <c r="A417" s="273"/>
      <c r="B417" s="152" t="s">
        <v>793</v>
      </c>
      <c r="C417" s="97">
        <v>12</v>
      </c>
      <c r="D417" s="97">
        <v>1974</v>
      </c>
      <c r="E417" s="153">
        <v>11.941</v>
      </c>
      <c r="F417" s="153">
        <v>0.84</v>
      </c>
      <c r="G417" s="153">
        <v>1.92</v>
      </c>
      <c r="H417" s="153">
        <v>9.181</v>
      </c>
      <c r="I417" s="155">
        <v>601.83</v>
      </c>
      <c r="J417" s="153">
        <v>9.181</v>
      </c>
      <c r="K417" s="155">
        <v>601.83</v>
      </c>
      <c r="L417" s="157">
        <f>J417/K417</f>
        <v>0.015255138494259173</v>
      </c>
      <c r="M417" s="183">
        <v>216.6</v>
      </c>
      <c r="N417" s="159">
        <f>L417*M417</f>
        <v>3.304262997856537</v>
      </c>
      <c r="O417" s="159">
        <f>L417*60*1000</f>
        <v>915.3083096555505</v>
      </c>
      <c r="P417" s="161">
        <f>O417*M417/1000</f>
        <v>198.25577987139224</v>
      </c>
      <c r="Q417" s="11"/>
      <c r="R417" s="10"/>
      <c r="S417" s="10"/>
    </row>
    <row r="418" spans="1:19" s="9" customFormat="1" ht="12.75">
      <c r="A418" s="273"/>
      <c r="B418" s="152" t="s">
        <v>738</v>
      </c>
      <c r="C418" s="97">
        <v>30</v>
      </c>
      <c r="D418" s="97">
        <v>1972</v>
      </c>
      <c r="E418" s="153">
        <v>34.7</v>
      </c>
      <c r="F418" s="153">
        <v>3.57</v>
      </c>
      <c r="G418" s="153">
        <v>4.8</v>
      </c>
      <c r="H418" s="153">
        <v>26.36</v>
      </c>
      <c r="I418" s="231"/>
      <c r="J418" s="153">
        <f>H418</f>
        <v>26.36</v>
      </c>
      <c r="K418" s="155">
        <v>1727</v>
      </c>
      <c r="L418" s="157">
        <f>J418/K418</f>
        <v>0.015263462651997683</v>
      </c>
      <c r="M418" s="183">
        <v>187.69</v>
      </c>
      <c r="N418" s="159">
        <f>L418*M418</f>
        <v>2.8647993051534453</v>
      </c>
      <c r="O418" s="159">
        <f>L418*60*1000</f>
        <v>915.807759119861</v>
      </c>
      <c r="P418" s="161">
        <f>O418*M418/1000</f>
        <v>171.8879583092067</v>
      </c>
      <c r="R418" s="10"/>
      <c r="S418" s="10"/>
    </row>
    <row r="419" spans="1:19" s="9" customFormat="1" ht="12.75" customHeight="1">
      <c r="A419" s="273"/>
      <c r="B419" s="152" t="s">
        <v>769</v>
      </c>
      <c r="C419" s="97">
        <v>41</v>
      </c>
      <c r="D419" s="97">
        <v>1981</v>
      </c>
      <c r="E419" s="153">
        <v>44.6</v>
      </c>
      <c r="F419" s="153">
        <v>3.879</v>
      </c>
      <c r="G419" s="153">
        <v>6.41</v>
      </c>
      <c r="H419" s="153">
        <v>34.311</v>
      </c>
      <c r="I419" s="155">
        <v>2246.86</v>
      </c>
      <c r="J419" s="153">
        <v>34.3</v>
      </c>
      <c r="K419" s="155">
        <v>2246.9</v>
      </c>
      <c r="L419" s="157">
        <f>J419/K419</f>
        <v>0.015265476879255863</v>
      </c>
      <c r="M419" s="183">
        <v>224.1</v>
      </c>
      <c r="N419" s="159">
        <f>L419*M419</f>
        <v>3.4209933686412386</v>
      </c>
      <c r="O419" s="159">
        <f>L419*60*1000</f>
        <v>915.9286127553518</v>
      </c>
      <c r="P419" s="161">
        <f>O419*M419/1000</f>
        <v>205.2596021184743</v>
      </c>
      <c r="R419" s="10"/>
      <c r="S419" s="10"/>
    </row>
    <row r="420" spans="1:19" s="9" customFormat="1" ht="12.75">
      <c r="A420" s="273"/>
      <c r="B420" s="152" t="s">
        <v>770</v>
      </c>
      <c r="C420" s="97">
        <v>45</v>
      </c>
      <c r="D420" s="97"/>
      <c r="E420" s="153">
        <v>57.6</v>
      </c>
      <c r="F420" s="153">
        <v>5.756</v>
      </c>
      <c r="G420" s="153">
        <v>7.2</v>
      </c>
      <c r="H420" s="153">
        <v>44.644</v>
      </c>
      <c r="I420" s="155">
        <v>2911.41</v>
      </c>
      <c r="J420" s="153">
        <v>44.6</v>
      </c>
      <c r="K420" s="155">
        <v>2911.4</v>
      </c>
      <c r="L420" s="157">
        <f>J420/K420</f>
        <v>0.015319090471937899</v>
      </c>
      <c r="M420" s="183">
        <v>224.1</v>
      </c>
      <c r="N420" s="159">
        <f>L420*M420</f>
        <v>3.4330081747612833</v>
      </c>
      <c r="O420" s="159">
        <f>L420*60*1000</f>
        <v>919.1454283162739</v>
      </c>
      <c r="P420" s="161">
        <f>O420*M420/1000</f>
        <v>205.98049048567697</v>
      </c>
      <c r="R420" s="10"/>
      <c r="S420" s="10"/>
    </row>
    <row r="421" spans="1:19" s="9" customFormat="1" ht="12.75">
      <c r="A421" s="273"/>
      <c r="B421" s="126" t="s">
        <v>142</v>
      </c>
      <c r="C421" s="127">
        <v>12</v>
      </c>
      <c r="D421" s="127">
        <v>1979</v>
      </c>
      <c r="E421" s="128">
        <f>SUM(F421:H421)</f>
        <v>13.599998</v>
      </c>
      <c r="F421" s="128">
        <v>0.7518</v>
      </c>
      <c r="G421" s="128">
        <v>1.84</v>
      </c>
      <c r="H421" s="128">
        <v>11.008198</v>
      </c>
      <c r="I421" s="129">
        <v>715.63</v>
      </c>
      <c r="J421" s="128">
        <v>11.008198</v>
      </c>
      <c r="K421" s="129">
        <v>715.63</v>
      </c>
      <c r="L421" s="130">
        <f>J421/K421</f>
        <v>0.015382527283652168</v>
      </c>
      <c r="M421" s="131">
        <v>285.3</v>
      </c>
      <c r="N421" s="131">
        <f>L421*M421*1.09</f>
        <v>4.7836121870883</v>
      </c>
      <c r="O421" s="131">
        <f>L421*60*1000</f>
        <v>922.9516370191301</v>
      </c>
      <c r="P421" s="132">
        <v>287.01673122529803</v>
      </c>
      <c r="R421" s="10"/>
      <c r="S421" s="10"/>
    </row>
    <row r="422" spans="1:19" s="9" customFormat="1" ht="12.75">
      <c r="A422" s="273"/>
      <c r="B422" s="152" t="s">
        <v>841</v>
      </c>
      <c r="C422" s="97">
        <v>70</v>
      </c>
      <c r="D422" s="97">
        <v>1975</v>
      </c>
      <c r="E422" s="153">
        <v>68</v>
      </c>
      <c r="F422" s="153">
        <v>7.816</v>
      </c>
      <c r="G422" s="153">
        <v>10.37</v>
      </c>
      <c r="H422" s="153">
        <v>49.814</v>
      </c>
      <c r="I422" s="260" t="s">
        <v>827</v>
      </c>
      <c r="J422" s="153">
        <v>49.814</v>
      </c>
      <c r="K422" s="155">
        <v>3238.33</v>
      </c>
      <c r="L422" s="157">
        <f>J422/K422</f>
        <v>0.01538262005416372</v>
      </c>
      <c r="M422" s="183">
        <v>346.4</v>
      </c>
      <c r="N422" s="159">
        <f>L422*M422</f>
        <v>5.328539586762313</v>
      </c>
      <c r="O422" s="159">
        <f>L422*60*1000</f>
        <v>922.9572032498232</v>
      </c>
      <c r="P422" s="161">
        <f>O422*M422/1000</f>
        <v>319.71237520573874</v>
      </c>
      <c r="R422" s="10"/>
      <c r="S422" s="10"/>
    </row>
    <row r="423" spans="1:19" s="9" customFormat="1" ht="12.75">
      <c r="A423" s="273"/>
      <c r="B423" s="108" t="s">
        <v>609</v>
      </c>
      <c r="C423" s="97">
        <v>30</v>
      </c>
      <c r="D423" s="97">
        <v>1992</v>
      </c>
      <c r="E423" s="153">
        <v>32.246</v>
      </c>
      <c r="F423" s="153">
        <v>4.271</v>
      </c>
      <c r="G423" s="153">
        <v>4.8</v>
      </c>
      <c r="H423" s="153">
        <v>23.175</v>
      </c>
      <c r="I423" s="183">
        <v>1505.1</v>
      </c>
      <c r="J423" s="153">
        <v>23.175</v>
      </c>
      <c r="K423" s="183">
        <v>1505.1</v>
      </c>
      <c r="L423" s="157">
        <f>J423/K423</f>
        <v>0.015397647996810844</v>
      </c>
      <c r="M423" s="183">
        <v>302.3</v>
      </c>
      <c r="N423" s="159">
        <f>L423*M423</f>
        <v>4.654708989435918</v>
      </c>
      <c r="O423" s="159">
        <f>L423*60*1000</f>
        <v>923.8588798086506</v>
      </c>
      <c r="P423" s="161">
        <f>O423*M423/1000</f>
        <v>279.2825393661551</v>
      </c>
      <c r="R423" s="10"/>
      <c r="S423" s="10"/>
    </row>
    <row r="424" spans="1:19" s="9" customFormat="1" ht="12.75">
      <c r="A424" s="273"/>
      <c r="B424" s="126" t="s">
        <v>364</v>
      </c>
      <c r="C424" s="127">
        <v>50</v>
      </c>
      <c r="D424" s="127">
        <v>1988</v>
      </c>
      <c r="E424" s="128">
        <v>48.5</v>
      </c>
      <c r="F424" s="128">
        <v>3.96</v>
      </c>
      <c r="G424" s="128">
        <v>7.84</v>
      </c>
      <c r="H424" s="128">
        <f>E424-F424-G424</f>
        <v>36.7</v>
      </c>
      <c r="I424" s="129">
        <v>2383.26</v>
      </c>
      <c r="J424" s="128">
        <v>36.7</v>
      </c>
      <c r="K424" s="129">
        <v>2383.26</v>
      </c>
      <c r="L424" s="130">
        <f>J424/K424</f>
        <v>0.015399075216300361</v>
      </c>
      <c r="M424" s="131">
        <v>264.761</v>
      </c>
      <c r="N424" s="131">
        <f>L424*M424</f>
        <v>4.0770745533429</v>
      </c>
      <c r="O424" s="131">
        <f>L424*1000*60</f>
        <v>923.9445129780216</v>
      </c>
      <c r="P424" s="132">
        <f>N424*60</f>
        <v>244.62447320057402</v>
      </c>
      <c r="R424" s="10"/>
      <c r="S424" s="10"/>
    </row>
    <row r="425" spans="1:19" s="9" customFormat="1" ht="12.75">
      <c r="A425" s="273"/>
      <c r="B425" s="301" t="s">
        <v>1018</v>
      </c>
      <c r="C425" s="302">
        <v>60</v>
      </c>
      <c r="D425" s="303" t="s">
        <v>24</v>
      </c>
      <c r="E425" s="304">
        <v>51.8</v>
      </c>
      <c r="F425" s="304">
        <v>4.84</v>
      </c>
      <c r="G425" s="305">
        <v>9.6</v>
      </c>
      <c r="H425" s="304">
        <v>37.36</v>
      </c>
      <c r="I425" s="306">
        <v>2425.09</v>
      </c>
      <c r="J425" s="304">
        <v>37.36</v>
      </c>
      <c r="K425" s="307">
        <v>2425.09</v>
      </c>
      <c r="L425" s="157">
        <f>J425/K425</f>
        <v>0.015405613812270883</v>
      </c>
      <c r="M425" s="183">
        <v>269.2</v>
      </c>
      <c r="N425" s="159">
        <f>L425*M425</f>
        <v>4.147191238263321</v>
      </c>
      <c r="O425" s="159">
        <f>L425*60*1000</f>
        <v>924.336828736253</v>
      </c>
      <c r="P425" s="161">
        <f>O425*M425/1000</f>
        <v>248.8314742957993</v>
      </c>
      <c r="R425" s="10"/>
      <c r="S425" s="10"/>
    </row>
    <row r="426" spans="1:19" s="9" customFormat="1" ht="12.75" customHeight="1">
      <c r="A426" s="273"/>
      <c r="B426" s="152" t="s">
        <v>480</v>
      </c>
      <c r="C426" s="97">
        <v>40</v>
      </c>
      <c r="D426" s="97">
        <v>1986</v>
      </c>
      <c r="E426" s="153">
        <v>46.8</v>
      </c>
      <c r="F426" s="153">
        <v>5.428</v>
      </c>
      <c r="G426" s="153">
        <v>6.4</v>
      </c>
      <c r="H426" s="153">
        <v>34.972</v>
      </c>
      <c r="I426" s="155">
        <v>2268.74</v>
      </c>
      <c r="J426" s="153">
        <v>35</v>
      </c>
      <c r="K426" s="155">
        <v>2268.7</v>
      </c>
      <c r="L426" s="157">
        <f>J426/K426</f>
        <v>0.015427337241592103</v>
      </c>
      <c r="M426" s="183">
        <v>224.1</v>
      </c>
      <c r="N426" s="159">
        <f>L426*M426</f>
        <v>3.4572662758407904</v>
      </c>
      <c r="O426" s="159">
        <f>L426*60*1000</f>
        <v>925.6402344955262</v>
      </c>
      <c r="P426" s="161">
        <f>O426*M426/1000</f>
        <v>207.4359765504474</v>
      </c>
      <c r="R426" s="10"/>
      <c r="S426" s="10"/>
    </row>
    <row r="427" spans="1:19" s="9" customFormat="1" ht="12.75" customHeight="1">
      <c r="A427" s="273"/>
      <c r="B427" s="152" t="s">
        <v>574</v>
      </c>
      <c r="C427" s="97">
        <v>61</v>
      </c>
      <c r="D427" s="97">
        <v>1980</v>
      </c>
      <c r="E427" s="153">
        <v>61.90863</v>
      </c>
      <c r="F427" s="153">
        <v>7.58804</v>
      </c>
      <c r="G427" s="153">
        <v>6</v>
      </c>
      <c r="H427" s="153">
        <f>E427-F427-G427</f>
        <v>48.32059</v>
      </c>
      <c r="I427" s="155">
        <v>3128.4</v>
      </c>
      <c r="J427" s="153">
        <f>H427</f>
        <v>48.32059</v>
      </c>
      <c r="K427" s="155">
        <f>I427</f>
        <v>3128.4</v>
      </c>
      <c r="L427" s="157">
        <f>J427/K427</f>
        <v>0.015445783787239483</v>
      </c>
      <c r="M427" s="183">
        <v>279.5</v>
      </c>
      <c r="N427" s="159">
        <f>L427*M427</f>
        <v>4.317096568533436</v>
      </c>
      <c r="O427" s="159">
        <f>L427*60*1000</f>
        <v>926.7470272343689</v>
      </c>
      <c r="P427" s="161">
        <f>O427*M427/1000</f>
        <v>259.0257941120061</v>
      </c>
      <c r="R427" s="10"/>
      <c r="S427" s="10"/>
    </row>
    <row r="428" spans="1:19" s="9" customFormat="1" ht="12.75" customHeight="1">
      <c r="A428" s="273"/>
      <c r="B428" s="152" t="s">
        <v>771</v>
      </c>
      <c r="C428" s="97">
        <v>40</v>
      </c>
      <c r="D428" s="97">
        <v>1988</v>
      </c>
      <c r="E428" s="153">
        <v>45.5</v>
      </c>
      <c r="F428" s="153">
        <v>5.224</v>
      </c>
      <c r="G428" s="153">
        <v>6.4</v>
      </c>
      <c r="H428" s="153">
        <v>33.876</v>
      </c>
      <c r="I428" s="155">
        <v>2194.44</v>
      </c>
      <c r="J428" s="153">
        <v>33.9</v>
      </c>
      <c r="K428" s="155">
        <v>2194.4</v>
      </c>
      <c r="L428" s="157">
        <f>J428/K428</f>
        <v>0.015448414145096609</v>
      </c>
      <c r="M428" s="183">
        <v>224.1</v>
      </c>
      <c r="N428" s="159">
        <f>L428*M428</f>
        <v>3.46198960991615</v>
      </c>
      <c r="O428" s="159">
        <f>L428*60*1000</f>
        <v>926.9048487057964</v>
      </c>
      <c r="P428" s="161">
        <f>O428*M428/1000</f>
        <v>207.719376594969</v>
      </c>
      <c r="R428" s="10"/>
      <c r="S428" s="10"/>
    </row>
    <row r="429" spans="1:19" s="9" customFormat="1" ht="12.75" customHeight="1">
      <c r="A429" s="273"/>
      <c r="B429" s="301" t="s">
        <v>1019</v>
      </c>
      <c r="C429" s="302">
        <v>108</v>
      </c>
      <c r="D429" s="303" t="s">
        <v>24</v>
      </c>
      <c r="E429" s="304">
        <v>62.31</v>
      </c>
      <c r="F429" s="304">
        <v>5.11</v>
      </c>
      <c r="G429" s="305">
        <v>17.28</v>
      </c>
      <c r="H429" s="304">
        <v>39.92</v>
      </c>
      <c r="I429" s="308">
        <v>2582.45</v>
      </c>
      <c r="J429" s="304">
        <v>39.92</v>
      </c>
      <c r="K429" s="307">
        <v>2582.45</v>
      </c>
      <c r="L429" s="157">
        <f>J429/K429</f>
        <v>0.0154581889291177</v>
      </c>
      <c r="M429" s="183">
        <v>269.2</v>
      </c>
      <c r="N429" s="159">
        <f>L429*M429</f>
        <v>4.161344459718485</v>
      </c>
      <c r="O429" s="159">
        <f>L429*60*1000</f>
        <v>927.491335747062</v>
      </c>
      <c r="P429" s="161">
        <f>O429*M429/1000</f>
        <v>249.68066758310906</v>
      </c>
      <c r="Q429" s="11"/>
      <c r="R429" s="10"/>
      <c r="S429" s="10"/>
    </row>
    <row r="430" spans="1:19" s="9" customFormat="1" ht="12.75" customHeight="1">
      <c r="A430" s="273"/>
      <c r="B430" s="152" t="s">
        <v>772</v>
      </c>
      <c r="C430" s="97">
        <v>40</v>
      </c>
      <c r="D430" s="97">
        <v>1979</v>
      </c>
      <c r="E430" s="153">
        <v>44.6</v>
      </c>
      <c r="F430" s="153">
        <v>4.373</v>
      </c>
      <c r="G430" s="153">
        <v>6.4</v>
      </c>
      <c r="H430" s="153">
        <v>33.827</v>
      </c>
      <c r="I430" s="155">
        <v>2184.18</v>
      </c>
      <c r="J430" s="153">
        <v>33.8</v>
      </c>
      <c r="K430" s="155">
        <v>2184.2</v>
      </c>
      <c r="L430" s="157">
        <f>J430/K430</f>
        <v>0.015474773372401794</v>
      </c>
      <c r="M430" s="183">
        <v>224.1</v>
      </c>
      <c r="N430" s="159">
        <f>L430*M430</f>
        <v>3.467896712755242</v>
      </c>
      <c r="O430" s="159">
        <f>L430*60*1000</f>
        <v>928.4864023441077</v>
      </c>
      <c r="P430" s="161">
        <f>O430*M430/1000</f>
        <v>208.07380276531453</v>
      </c>
      <c r="R430" s="10"/>
      <c r="S430" s="10"/>
    </row>
    <row r="431" spans="1:19" s="9" customFormat="1" ht="12.75" customHeight="1">
      <c r="A431" s="273"/>
      <c r="B431" s="126" t="s">
        <v>385</v>
      </c>
      <c r="C431" s="127">
        <v>40</v>
      </c>
      <c r="D431" s="127">
        <v>1980</v>
      </c>
      <c r="E431" s="128">
        <f>SUM(F431+G431+H431)</f>
        <v>45.400000000000006</v>
      </c>
      <c r="F431" s="128">
        <v>4.8</v>
      </c>
      <c r="G431" s="128">
        <v>6.4</v>
      </c>
      <c r="H431" s="128">
        <v>34.2</v>
      </c>
      <c r="I431" s="129">
        <v>2208.76</v>
      </c>
      <c r="J431" s="128">
        <v>34.2</v>
      </c>
      <c r="K431" s="129">
        <v>2208.8</v>
      </c>
      <c r="L431" s="130">
        <f>SUM(J431/K431)</f>
        <v>0.015483520463600145</v>
      </c>
      <c r="M431" s="131">
        <v>215.8</v>
      </c>
      <c r="N431" s="131">
        <f>SUM(L431*M431)</f>
        <v>3.3413437160449115</v>
      </c>
      <c r="O431" s="131">
        <f>L431*60*1000</f>
        <v>929.0112278160087</v>
      </c>
      <c r="P431" s="132">
        <f>SUM(N431*60)</f>
        <v>200.4806229626947</v>
      </c>
      <c r="Q431" s="11"/>
      <c r="R431" s="10"/>
      <c r="S431" s="10"/>
    </row>
    <row r="432" spans="1:19" s="9" customFormat="1" ht="12.75" customHeight="1">
      <c r="A432" s="273"/>
      <c r="B432" s="152" t="s">
        <v>773</v>
      </c>
      <c r="C432" s="97">
        <v>12</v>
      </c>
      <c r="D432" s="97">
        <v>1966</v>
      </c>
      <c r="E432" s="153">
        <v>15.1</v>
      </c>
      <c r="F432" s="153">
        <v>1.426</v>
      </c>
      <c r="G432" s="153">
        <v>1.92</v>
      </c>
      <c r="H432" s="153">
        <v>11.754</v>
      </c>
      <c r="I432" s="155">
        <v>761.84</v>
      </c>
      <c r="J432" s="153">
        <v>11.8</v>
      </c>
      <c r="K432" s="155">
        <v>761.8</v>
      </c>
      <c r="L432" s="157">
        <f>J432/K432</f>
        <v>0.015489629824100815</v>
      </c>
      <c r="M432" s="183">
        <v>224.1</v>
      </c>
      <c r="N432" s="159">
        <f>L432*M432</f>
        <v>3.4712260435809927</v>
      </c>
      <c r="O432" s="159">
        <f>L432*60*1000</f>
        <v>929.3777894460488</v>
      </c>
      <c r="P432" s="161">
        <f>O432*M432/1000</f>
        <v>208.27356261485954</v>
      </c>
      <c r="R432" s="10"/>
      <c r="S432" s="10"/>
    </row>
    <row r="433" spans="1:16" s="9" customFormat="1" ht="12.75" customHeight="1">
      <c r="A433" s="273"/>
      <c r="B433" s="126" t="s">
        <v>988</v>
      </c>
      <c r="C433" s="127">
        <v>40</v>
      </c>
      <c r="D433" s="127">
        <v>1975</v>
      </c>
      <c r="E433" s="128">
        <v>38.4</v>
      </c>
      <c r="F433" s="128">
        <v>2.45</v>
      </c>
      <c r="G433" s="128">
        <v>6.4</v>
      </c>
      <c r="H433" s="128">
        <v>29.6</v>
      </c>
      <c r="I433" s="129">
        <v>1908</v>
      </c>
      <c r="J433" s="128">
        <v>29.6</v>
      </c>
      <c r="K433" s="129">
        <v>1908</v>
      </c>
      <c r="L433" s="130">
        <f>H433/K433</f>
        <v>0.015513626834381553</v>
      </c>
      <c r="M433" s="131">
        <v>228.46</v>
      </c>
      <c r="N433" s="131">
        <f>L433*M433</f>
        <v>3.5442431865828095</v>
      </c>
      <c r="O433" s="131">
        <f>L433*60*1000</f>
        <v>930.8176100628931</v>
      </c>
      <c r="P433" s="132">
        <f>N433*60</f>
        <v>212.65459119496856</v>
      </c>
    </row>
    <row r="434" spans="1:19" s="9" customFormat="1" ht="12.75" customHeight="1">
      <c r="A434" s="273"/>
      <c r="B434" s="126" t="s">
        <v>387</v>
      </c>
      <c r="C434" s="127">
        <v>50</v>
      </c>
      <c r="D434" s="127">
        <v>1978</v>
      </c>
      <c r="E434" s="128">
        <f>SUM(F434+G434+H434)</f>
        <v>54.1</v>
      </c>
      <c r="F434" s="128">
        <v>5.5</v>
      </c>
      <c r="G434" s="128">
        <v>8</v>
      </c>
      <c r="H434" s="128">
        <v>40.6</v>
      </c>
      <c r="I434" s="129">
        <v>2609.15</v>
      </c>
      <c r="J434" s="128">
        <v>40.6</v>
      </c>
      <c r="K434" s="129">
        <v>2609.1</v>
      </c>
      <c r="L434" s="130">
        <f>SUM(J434/K434)</f>
        <v>0.015560921390517804</v>
      </c>
      <c r="M434" s="131">
        <v>215.8</v>
      </c>
      <c r="N434" s="131">
        <f>SUM(L434*M434)</f>
        <v>3.358046836073742</v>
      </c>
      <c r="O434" s="131">
        <f>L434*60*1000</f>
        <v>933.6552834310683</v>
      </c>
      <c r="P434" s="132">
        <f>SUM(N434*60)</f>
        <v>201.48281016442454</v>
      </c>
      <c r="R434" s="10"/>
      <c r="S434" s="10"/>
    </row>
    <row r="435" spans="1:19" s="9" customFormat="1" ht="12.75" customHeight="1">
      <c r="A435" s="273"/>
      <c r="B435" s="152" t="s">
        <v>943</v>
      </c>
      <c r="C435" s="97">
        <v>42</v>
      </c>
      <c r="D435" s="97">
        <v>1991</v>
      </c>
      <c r="E435" s="153">
        <v>49.2</v>
      </c>
      <c r="F435" s="153">
        <v>4.38</v>
      </c>
      <c r="G435" s="153">
        <v>6.72</v>
      </c>
      <c r="H435" s="153">
        <v>38.1</v>
      </c>
      <c r="I435" s="155">
        <v>2446.17</v>
      </c>
      <c r="J435" s="153">
        <v>38.1</v>
      </c>
      <c r="K435" s="155">
        <v>2446.17</v>
      </c>
      <c r="L435" s="157">
        <f>J435/K435</f>
        <v>0.015575368841903874</v>
      </c>
      <c r="M435" s="183">
        <v>201.868</v>
      </c>
      <c r="N435" s="159">
        <f>L435*M435</f>
        <v>3.144168557377451</v>
      </c>
      <c r="O435" s="159">
        <f>L435*60*1000</f>
        <v>934.5221305142323</v>
      </c>
      <c r="P435" s="161">
        <f>O435*M435/1000</f>
        <v>188.65011344264704</v>
      </c>
      <c r="R435" s="10"/>
      <c r="S435" s="10"/>
    </row>
    <row r="436" spans="1:22" s="9" customFormat="1" ht="12.75" customHeight="1">
      <c r="A436" s="273"/>
      <c r="B436" s="152" t="s">
        <v>774</v>
      </c>
      <c r="C436" s="97">
        <v>24</v>
      </c>
      <c r="D436" s="97">
        <v>1991</v>
      </c>
      <c r="E436" s="153">
        <v>30.7</v>
      </c>
      <c r="F436" s="153">
        <v>3.041</v>
      </c>
      <c r="G436" s="153">
        <v>3.84</v>
      </c>
      <c r="H436" s="153">
        <v>23.919</v>
      </c>
      <c r="I436" s="155">
        <v>1527.39</v>
      </c>
      <c r="J436" s="153">
        <v>23.9</v>
      </c>
      <c r="K436" s="155">
        <v>1527.4</v>
      </c>
      <c r="L436" s="157">
        <f>J436/K436</f>
        <v>0.01564750556501244</v>
      </c>
      <c r="M436" s="183">
        <v>224.1</v>
      </c>
      <c r="N436" s="159">
        <f>L436*M436</f>
        <v>3.5066059971192876</v>
      </c>
      <c r="O436" s="159">
        <f>L436*60*1000</f>
        <v>938.8503339007464</v>
      </c>
      <c r="P436" s="161">
        <f>O436*M436/1000</f>
        <v>210.39635982715726</v>
      </c>
      <c r="Q436" s="10"/>
      <c r="R436" s="10"/>
      <c r="S436" s="10"/>
      <c r="T436" s="12"/>
      <c r="U436" s="13"/>
      <c r="V436" s="13"/>
    </row>
    <row r="437" spans="1:19" s="9" customFormat="1" ht="12.75" customHeight="1">
      <c r="A437" s="273"/>
      <c r="B437" s="152" t="s">
        <v>708</v>
      </c>
      <c r="C437" s="97">
        <v>45</v>
      </c>
      <c r="D437" s="97" t="s">
        <v>24</v>
      </c>
      <c r="E437" s="153">
        <v>47.11</v>
      </c>
      <c r="F437" s="153">
        <v>3.37</v>
      </c>
      <c r="G437" s="153">
        <v>7.2</v>
      </c>
      <c r="H437" s="153">
        <v>36.54</v>
      </c>
      <c r="I437" s="155">
        <v>2332</v>
      </c>
      <c r="J437" s="153">
        <v>36.54</v>
      </c>
      <c r="K437" s="155">
        <v>2332</v>
      </c>
      <c r="L437" s="157">
        <f>J437/K437</f>
        <v>0.01566895368782161</v>
      </c>
      <c r="M437" s="183">
        <v>234.2</v>
      </c>
      <c r="N437" s="159">
        <f>L437*M437</f>
        <v>3.6696689536878213</v>
      </c>
      <c r="O437" s="159">
        <f>L437*60*1000</f>
        <v>940.1372212692967</v>
      </c>
      <c r="P437" s="161">
        <f>O437*M437/1000</f>
        <v>220.1801372212693</v>
      </c>
      <c r="R437" s="10"/>
      <c r="S437" s="10"/>
    </row>
    <row r="438" spans="1:19" s="9" customFormat="1" ht="12.75" customHeight="1">
      <c r="A438" s="273"/>
      <c r="B438" s="152" t="s">
        <v>842</v>
      </c>
      <c r="C438" s="97">
        <v>22</v>
      </c>
      <c r="D438" s="97">
        <v>1983</v>
      </c>
      <c r="E438" s="153">
        <v>24.3</v>
      </c>
      <c r="F438" s="153">
        <v>2.254</v>
      </c>
      <c r="G438" s="153">
        <v>3.36</v>
      </c>
      <c r="H438" s="153">
        <v>18.686</v>
      </c>
      <c r="I438" s="260" t="s">
        <v>838</v>
      </c>
      <c r="J438" s="153">
        <v>18.686</v>
      </c>
      <c r="K438" s="155">
        <v>1190.44</v>
      </c>
      <c r="L438" s="157">
        <f>J438/K438</f>
        <v>0.01569671718020228</v>
      </c>
      <c r="M438" s="183">
        <v>346.4</v>
      </c>
      <c r="N438" s="159">
        <f>L438*M438</f>
        <v>5.437342831222069</v>
      </c>
      <c r="O438" s="159">
        <f>L438*60*1000</f>
        <v>941.8030308121367</v>
      </c>
      <c r="P438" s="161">
        <f>O438*M438/1000</f>
        <v>326.24056987332415</v>
      </c>
      <c r="R438" s="10"/>
      <c r="S438" s="10"/>
    </row>
    <row r="439" spans="1:19" s="9" customFormat="1" ht="12.75" customHeight="1">
      <c r="A439" s="273"/>
      <c r="B439" s="152" t="s">
        <v>575</v>
      </c>
      <c r="C439" s="97">
        <v>60</v>
      </c>
      <c r="D439" s="97">
        <v>1988</v>
      </c>
      <c r="E439" s="153">
        <v>63.8751</v>
      </c>
      <c r="F439" s="153">
        <v>7.37245</v>
      </c>
      <c r="G439" s="153">
        <v>6</v>
      </c>
      <c r="H439" s="153">
        <f>E439-F439-G439</f>
        <v>50.50265</v>
      </c>
      <c r="I439" s="155">
        <v>3180.06</v>
      </c>
      <c r="J439" s="153">
        <f>H439</f>
        <v>50.50265</v>
      </c>
      <c r="K439" s="155">
        <f>I439</f>
        <v>3180.06</v>
      </c>
      <c r="L439" s="157">
        <f>J439/K439</f>
        <v>0.015881036835782975</v>
      </c>
      <c r="M439" s="183">
        <v>279.5</v>
      </c>
      <c r="N439" s="159">
        <f>L439*M439</f>
        <v>4.438749795601342</v>
      </c>
      <c r="O439" s="159">
        <f>L439*60*1000</f>
        <v>952.8622101469784</v>
      </c>
      <c r="P439" s="161">
        <f>O439*M439/1000</f>
        <v>266.32498773608046</v>
      </c>
      <c r="Q439" s="11"/>
      <c r="R439" s="10"/>
      <c r="S439" s="10"/>
    </row>
    <row r="440" spans="1:19" s="9" customFormat="1" ht="12.75" customHeight="1">
      <c r="A440" s="273"/>
      <c r="B440" s="152" t="s">
        <v>860</v>
      </c>
      <c r="C440" s="97">
        <v>50</v>
      </c>
      <c r="D440" s="97">
        <v>1972</v>
      </c>
      <c r="E440" s="153">
        <f>F440+G440+H440</f>
        <v>51.95601</v>
      </c>
      <c r="F440" s="153">
        <v>3.125189</v>
      </c>
      <c r="G440" s="153">
        <v>8</v>
      </c>
      <c r="H440" s="153">
        <v>40.830821</v>
      </c>
      <c r="I440" s="155">
        <v>2563.1</v>
      </c>
      <c r="J440" s="153">
        <f>H440</f>
        <v>40.830821</v>
      </c>
      <c r="K440" s="155">
        <f>I440</f>
        <v>2563.1</v>
      </c>
      <c r="L440" s="157">
        <f>J440/K440</f>
        <v>0.015930248917326674</v>
      </c>
      <c r="M440" s="183">
        <v>349.12</v>
      </c>
      <c r="N440" s="159">
        <f>L440*M440</f>
        <v>5.561568502017089</v>
      </c>
      <c r="O440" s="159">
        <f>L440*60*1000</f>
        <v>955.8149350396004</v>
      </c>
      <c r="P440" s="161">
        <f>O440*M440/1000</f>
        <v>333.6941101210253</v>
      </c>
      <c r="R440" s="10"/>
      <c r="S440" s="10"/>
    </row>
    <row r="441" spans="1:16" s="9" customFormat="1" ht="12.75" customHeight="1">
      <c r="A441" s="273"/>
      <c r="B441" s="152" t="s">
        <v>843</v>
      </c>
      <c r="C441" s="97">
        <v>12</v>
      </c>
      <c r="D441" s="97" t="s">
        <v>24</v>
      </c>
      <c r="E441" s="153">
        <v>14.456</v>
      </c>
      <c r="F441" s="153">
        <v>1.359</v>
      </c>
      <c r="G441" s="153">
        <v>1.92</v>
      </c>
      <c r="H441" s="153">
        <v>11.176</v>
      </c>
      <c r="I441" s="260" t="s">
        <v>838</v>
      </c>
      <c r="J441" s="153">
        <v>11.176</v>
      </c>
      <c r="K441" s="155">
        <v>700.82</v>
      </c>
      <c r="L441" s="157">
        <f>J441/K441</f>
        <v>0.015947033475072057</v>
      </c>
      <c r="M441" s="183">
        <v>346.4</v>
      </c>
      <c r="N441" s="159">
        <f>L441*M441</f>
        <v>5.5240523957649605</v>
      </c>
      <c r="O441" s="159">
        <f>L441*60*1000</f>
        <v>956.8220085043234</v>
      </c>
      <c r="P441" s="161">
        <f>O441*M441/1000</f>
        <v>331.4431437458976</v>
      </c>
    </row>
    <row r="442" spans="1:19" s="9" customFormat="1" ht="12.75" customHeight="1">
      <c r="A442" s="273"/>
      <c r="B442" s="152" t="s">
        <v>861</v>
      </c>
      <c r="C442" s="97">
        <v>44</v>
      </c>
      <c r="D442" s="97">
        <v>1970</v>
      </c>
      <c r="E442" s="153">
        <f>F442+G442+H442</f>
        <v>46.63901</v>
      </c>
      <c r="F442" s="153">
        <v>2.738556</v>
      </c>
      <c r="G442" s="153">
        <v>7.04</v>
      </c>
      <c r="H442" s="153">
        <v>36.860454</v>
      </c>
      <c r="I442" s="155">
        <v>2311.09</v>
      </c>
      <c r="J442" s="153">
        <f>H442</f>
        <v>36.860454</v>
      </c>
      <c r="K442" s="155">
        <f>I442</f>
        <v>2311.09</v>
      </c>
      <c r="L442" s="157">
        <f>J442/K442</f>
        <v>0.015949380595303514</v>
      </c>
      <c r="M442" s="183">
        <f>M441</f>
        <v>346.4</v>
      </c>
      <c r="N442" s="159">
        <f>L442*M442</f>
        <v>5.524865438213137</v>
      </c>
      <c r="O442" s="159">
        <f>L442*60*1000</f>
        <v>956.9628357182108</v>
      </c>
      <c r="P442" s="161">
        <f>O442*M442/1000</f>
        <v>331.49192629278826</v>
      </c>
      <c r="R442" s="39"/>
      <c r="S442" s="10"/>
    </row>
    <row r="443" spans="1:19" s="9" customFormat="1" ht="12.75" customHeight="1">
      <c r="A443" s="273"/>
      <c r="B443" s="152" t="s">
        <v>862</v>
      </c>
      <c r="C443" s="97">
        <v>20</v>
      </c>
      <c r="D443" s="97">
        <v>1989</v>
      </c>
      <c r="E443" s="153">
        <f>F443+G443+H443</f>
        <v>22.134999999999998</v>
      </c>
      <c r="F443" s="153">
        <v>1.984402</v>
      </c>
      <c r="G443" s="153">
        <v>3.4</v>
      </c>
      <c r="H443" s="153">
        <v>16.750598</v>
      </c>
      <c r="I443" s="155">
        <v>1048.7</v>
      </c>
      <c r="J443" s="153">
        <f>H443</f>
        <v>16.750598</v>
      </c>
      <c r="K443" s="155">
        <f>I443</f>
        <v>1048.7</v>
      </c>
      <c r="L443" s="157">
        <f>J443/K443</f>
        <v>0.015972726232478307</v>
      </c>
      <c r="M443" s="183">
        <v>349.12</v>
      </c>
      <c r="N443" s="159">
        <f>L443*M443</f>
        <v>5.576398182282826</v>
      </c>
      <c r="O443" s="159">
        <f>L443*60*1000</f>
        <v>958.3635739486984</v>
      </c>
      <c r="P443" s="161">
        <f>O443*M443/1000</f>
        <v>334.5838909369696</v>
      </c>
      <c r="R443" s="10"/>
      <c r="S443" s="10"/>
    </row>
    <row r="444" spans="1:19" s="9" customFormat="1" ht="12.75" customHeight="1">
      <c r="A444" s="273"/>
      <c r="B444" s="152" t="s">
        <v>532</v>
      </c>
      <c r="C444" s="97">
        <v>55</v>
      </c>
      <c r="D444" s="97">
        <v>1968</v>
      </c>
      <c r="E444" s="153">
        <v>53.3</v>
      </c>
      <c r="F444" s="153">
        <v>4.7</v>
      </c>
      <c r="G444" s="153">
        <v>8.9</v>
      </c>
      <c r="H444" s="153">
        <v>39.7</v>
      </c>
      <c r="I444" s="155">
        <v>2483</v>
      </c>
      <c r="J444" s="153">
        <v>39.7</v>
      </c>
      <c r="K444" s="155">
        <v>2483</v>
      </c>
      <c r="L444" s="157">
        <f>J444/K444</f>
        <v>0.015988723318566253</v>
      </c>
      <c r="M444" s="183">
        <v>250.6</v>
      </c>
      <c r="N444" s="159">
        <f>L444*M444</f>
        <v>4.006774063632703</v>
      </c>
      <c r="O444" s="159">
        <f>L444*60*1000</f>
        <v>959.3233991139751</v>
      </c>
      <c r="P444" s="161">
        <f>O444*M444/1000</f>
        <v>240.40644381796216</v>
      </c>
      <c r="R444" s="10"/>
      <c r="S444" s="10"/>
    </row>
    <row r="445" spans="1:19" s="9" customFormat="1" ht="12.75" customHeight="1">
      <c r="A445" s="273"/>
      <c r="B445" s="152" t="s">
        <v>863</v>
      </c>
      <c r="C445" s="97" t="s">
        <v>858</v>
      </c>
      <c r="D445" s="97">
        <v>1966</v>
      </c>
      <c r="E445" s="153">
        <f>F445+G445+H445</f>
        <v>41.037977999999995</v>
      </c>
      <c r="F445" s="153">
        <v>2.625</v>
      </c>
      <c r="G445" s="153">
        <v>7.04</v>
      </c>
      <c r="H445" s="153">
        <v>31.372978</v>
      </c>
      <c r="I445" s="155">
        <v>1948.2</v>
      </c>
      <c r="J445" s="153">
        <f>H445</f>
        <v>31.372978</v>
      </c>
      <c r="K445" s="155">
        <f>I445</f>
        <v>1948.2</v>
      </c>
      <c r="L445" s="157">
        <f>J445/K445</f>
        <v>0.01610357150189919</v>
      </c>
      <c r="M445" s="183">
        <v>349.12</v>
      </c>
      <c r="N445" s="159">
        <f>L445*M445</f>
        <v>5.622078882743045</v>
      </c>
      <c r="O445" s="159">
        <f>L445*60*1000</f>
        <v>966.2142901139513</v>
      </c>
      <c r="P445" s="161">
        <f>O445*M445/1000</f>
        <v>337.32473296458267</v>
      </c>
      <c r="R445" s="10"/>
      <c r="S445" s="10"/>
    </row>
    <row r="446" spans="1:19" s="9" customFormat="1" ht="12.75" customHeight="1">
      <c r="A446" s="273"/>
      <c r="B446" s="241" t="s">
        <v>914</v>
      </c>
      <c r="C446" s="97">
        <v>24</v>
      </c>
      <c r="D446" s="97"/>
      <c r="E446" s="242">
        <f>F446+G446+H446</f>
        <v>26.05</v>
      </c>
      <c r="F446" s="242">
        <v>0</v>
      </c>
      <c r="G446" s="242">
        <v>0</v>
      </c>
      <c r="H446" s="242">
        <v>26.05</v>
      </c>
      <c r="I446" s="243">
        <v>1614.1</v>
      </c>
      <c r="J446" s="242">
        <f>E446</f>
        <v>26.05</v>
      </c>
      <c r="K446" s="243">
        <v>1614.06</v>
      </c>
      <c r="L446" s="244">
        <f>J446/K446</f>
        <v>0.016139424804530192</v>
      </c>
      <c r="M446" s="245">
        <v>244.38</v>
      </c>
      <c r="N446" s="246">
        <f>L446*M446</f>
        <v>3.9441526337310884</v>
      </c>
      <c r="O446" s="246">
        <f>L446*60*1000</f>
        <v>968.3654882718116</v>
      </c>
      <c r="P446" s="247">
        <f>O446*M446/1000</f>
        <v>236.6491580238653</v>
      </c>
      <c r="R446" s="10"/>
      <c r="S446" s="10"/>
    </row>
    <row r="447" spans="1:19" s="9" customFormat="1" ht="12.75" customHeight="1">
      <c r="A447" s="273"/>
      <c r="B447" s="152" t="s">
        <v>844</v>
      </c>
      <c r="C447" s="97">
        <v>12</v>
      </c>
      <c r="D447" s="97">
        <v>1985</v>
      </c>
      <c r="E447" s="153">
        <v>13.886</v>
      </c>
      <c r="F447" s="153">
        <v>0.906</v>
      </c>
      <c r="G447" s="153">
        <v>1.92</v>
      </c>
      <c r="H447" s="153">
        <v>11.059</v>
      </c>
      <c r="I447" s="260" t="s">
        <v>838</v>
      </c>
      <c r="J447" s="153">
        <v>11.059</v>
      </c>
      <c r="K447" s="155">
        <v>684.9</v>
      </c>
      <c r="L447" s="157">
        <f>J447/K447</f>
        <v>0.016146882756606803</v>
      </c>
      <c r="M447" s="183">
        <v>346.4</v>
      </c>
      <c r="N447" s="159">
        <f>L447*M447</f>
        <v>5.593280186888596</v>
      </c>
      <c r="O447" s="159">
        <f>L447*60*1000</f>
        <v>968.8129653964081</v>
      </c>
      <c r="P447" s="161">
        <f>O447*M447/1000</f>
        <v>335.59681121331573</v>
      </c>
      <c r="R447" s="10"/>
      <c r="S447" s="10"/>
    </row>
    <row r="448" spans="1:19" s="9" customFormat="1" ht="12.75" customHeight="1">
      <c r="A448" s="273"/>
      <c r="B448" s="126" t="s">
        <v>495</v>
      </c>
      <c r="C448" s="127">
        <v>20</v>
      </c>
      <c r="D448" s="127" t="s">
        <v>24</v>
      </c>
      <c r="E448" s="128">
        <f>SUM(F448:H448)</f>
        <v>23.48</v>
      </c>
      <c r="F448" s="128">
        <v>4.55</v>
      </c>
      <c r="G448" s="128">
        <v>3.27</v>
      </c>
      <c r="H448" s="128">
        <v>15.66</v>
      </c>
      <c r="I448" s="129">
        <v>957.78</v>
      </c>
      <c r="J448" s="128">
        <v>14.57</v>
      </c>
      <c r="K448" s="129">
        <v>902.07</v>
      </c>
      <c r="L448" s="157">
        <f>J448/K448</f>
        <v>0.016151739887148447</v>
      </c>
      <c r="M448" s="183">
        <v>206.1</v>
      </c>
      <c r="N448" s="159">
        <f>L448*M448</f>
        <v>3.3288735907412947</v>
      </c>
      <c r="O448" s="159">
        <f>L448*60*1000</f>
        <v>969.1043932289068</v>
      </c>
      <c r="P448" s="161">
        <f>O448*M448/1000</f>
        <v>199.73241544447768</v>
      </c>
      <c r="R448" s="10"/>
      <c r="S448" s="10"/>
    </row>
    <row r="449" spans="1:16" s="9" customFormat="1" ht="12.75" customHeight="1">
      <c r="A449" s="273"/>
      <c r="B449" s="126" t="s">
        <v>229</v>
      </c>
      <c r="C449" s="127">
        <v>30</v>
      </c>
      <c r="D449" s="127">
        <v>1985</v>
      </c>
      <c r="E449" s="128">
        <v>31.9</v>
      </c>
      <c r="F449" s="128">
        <v>1.78</v>
      </c>
      <c r="G449" s="128">
        <v>4.8</v>
      </c>
      <c r="H449" s="128">
        <f>E449-F449-G449</f>
        <v>25.319999999999997</v>
      </c>
      <c r="I449" s="129">
        <v>1566.56</v>
      </c>
      <c r="J449" s="128">
        <v>25.32</v>
      </c>
      <c r="K449" s="129">
        <v>1566.56</v>
      </c>
      <c r="L449" s="130">
        <f>J449/K449</f>
        <v>0.01616280257379226</v>
      </c>
      <c r="M449" s="131">
        <v>264.761</v>
      </c>
      <c r="N449" s="131">
        <f>L449*M449</f>
        <v>4.279279772239813</v>
      </c>
      <c r="O449" s="131">
        <f>L449*1000*60</f>
        <v>969.7681544275356</v>
      </c>
      <c r="P449" s="132">
        <f>N449*60</f>
        <v>256.7567863343888</v>
      </c>
    </row>
    <row r="450" spans="1:19" s="9" customFormat="1" ht="12.75" customHeight="1">
      <c r="A450" s="273"/>
      <c r="B450" s="152" t="s">
        <v>709</v>
      </c>
      <c r="C450" s="97">
        <v>45</v>
      </c>
      <c r="D450" s="97" t="s">
        <v>24</v>
      </c>
      <c r="E450" s="153">
        <v>48.09</v>
      </c>
      <c r="F450" s="153">
        <v>3.37</v>
      </c>
      <c r="G450" s="153">
        <v>7.2</v>
      </c>
      <c r="H450" s="153">
        <v>37.52</v>
      </c>
      <c r="I450" s="155">
        <v>2316</v>
      </c>
      <c r="J450" s="153">
        <v>37.52</v>
      </c>
      <c r="K450" s="155">
        <v>2316</v>
      </c>
      <c r="L450" s="157">
        <f>J450/K450</f>
        <v>0.01620034542314335</v>
      </c>
      <c r="M450" s="183">
        <v>234.2</v>
      </c>
      <c r="N450" s="159">
        <f>L450*M450</f>
        <v>3.794120898100173</v>
      </c>
      <c r="O450" s="159">
        <f>L450*60*1000</f>
        <v>972.020725388601</v>
      </c>
      <c r="P450" s="161">
        <f>O450*M450/1000</f>
        <v>227.64725388601036</v>
      </c>
      <c r="R450" s="10"/>
      <c r="S450" s="10"/>
    </row>
    <row r="451" spans="1:19" s="9" customFormat="1" ht="12.75" customHeight="1">
      <c r="A451" s="273"/>
      <c r="B451" s="126" t="s">
        <v>391</v>
      </c>
      <c r="C451" s="127">
        <v>20</v>
      </c>
      <c r="D451" s="127">
        <v>1979</v>
      </c>
      <c r="E451" s="128">
        <f>SUM(F451+G451+H451)</f>
        <v>22.099999999999998</v>
      </c>
      <c r="F451" s="128">
        <v>1.6</v>
      </c>
      <c r="G451" s="128">
        <v>3.1</v>
      </c>
      <c r="H451" s="128">
        <v>17.4</v>
      </c>
      <c r="I451" s="129">
        <v>1073.91</v>
      </c>
      <c r="J451" s="128">
        <v>17.4</v>
      </c>
      <c r="K451" s="129">
        <v>1073.9</v>
      </c>
      <c r="L451" s="130">
        <f>SUM(J451/K451)</f>
        <v>0.016202625942825215</v>
      </c>
      <c r="M451" s="131">
        <v>215.8</v>
      </c>
      <c r="N451" s="131">
        <f>SUM(L451*M451)</f>
        <v>3.4965266784616817</v>
      </c>
      <c r="O451" s="131">
        <f>L451*60*1000</f>
        <v>972.157556569513</v>
      </c>
      <c r="P451" s="132">
        <f>SUM(N451*60)</f>
        <v>209.7916007077009</v>
      </c>
      <c r="Q451" s="11"/>
      <c r="R451" s="10"/>
      <c r="S451" s="10"/>
    </row>
    <row r="452" spans="1:19" s="9" customFormat="1" ht="12.75" customHeight="1">
      <c r="A452" s="273"/>
      <c r="B452" s="108" t="s">
        <v>610</v>
      </c>
      <c r="C452" s="97">
        <v>22</v>
      </c>
      <c r="D452" s="97">
        <v>1976</v>
      </c>
      <c r="E452" s="153">
        <v>25.115</v>
      </c>
      <c r="F452" s="153">
        <v>2.607</v>
      </c>
      <c r="G452" s="153">
        <v>3.52</v>
      </c>
      <c r="H452" s="153">
        <v>18.988</v>
      </c>
      <c r="I452" s="183">
        <v>1170.7</v>
      </c>
      <c r="J452" s="153">
        <v>18.988</v>
      </c>
      <c r="K452" s="183">
        <v>1170.7</v>
      </c>
      <c r="L452" s="157">
        <f>J452/K452</f>
        <v>0.016219355940890065</v>
      </c>
      <c r="M452" s="183">
        <v>302.3</v>
      </c>
      <c r="N452" s="159">
        <f>L452*M452</f>
        <v>4.903111300931067</v>
      </c>
      <c r="O452" s="159">
        <f>L452*60*1000</f>
        <v>973.1613564534039</v>
      </c>
      <c r="P452" s="161">
        <f>O452*M452/1000</f>
        <v>294.186678055864</v>
      </c>
      <c r="R452" s="10"/>
      <c r="S452" s="10"/>
    </row>
    <row r="453" spans="1:22" s="9" customFormat="1" ht="12.75" customHeight="1">
      <c r="A453" s="273"/>
      <c r="B453" s="126" t="s">
        <v>58</v>
      </c>
      <c r="C453" s="127">
        <v>107</v>
      </c>
      <c r="D453" s="127">
        <v>1974</v>
      </c>
      <c r="E453" s="128">
        <v>68.75</v>
      </c>
      <c r="F453" s="128">
        <v>10.06</v>
      </c>
      <c r="G453" s="128">
        <v>17.04</v>
      </c>
      <c r="H453" s="128">
        <f>E453-F453-G453</f>
        <v>41.65</v>
      </c>
      <c r="I453" s="129">
        <v>2560</v>
      </c>
      <c r="J453" s="128">
        <f>H453/I453*K453</f>
        <v>40.72263671875</v>
      </c>
      <c r="K453" s="127">
        <v>2503</v>
      </c>
      <c r="L453" s="130">
        <f>J453/K453</f>
        <v>0.01626953125</v>
      </c>
      <c r="M453" s="140">
        <f>294.4*1.09</f>
        <v>320.896</v>
      </c>
      <c r="N453" s="131">
        <f>L453*M453</f>
        <v>5.2208275</v>
      </c>
      <c r="O453" s="131">
        <f>L453*60*1000</f>
        <v>976.171875</v>
      </c>
      <c r="P453" s="132">
        <f>O453*M453/1000</f>
        <v>313.24965000000003</v>
      </c>
      <c r="Q453" s="10"/>
      <c r="R453" s="10"/>
      <c r="S453" s="10"/>
      <c r="T453" s="12"/>
      <c r="U453" s="13"/>
      <c r="V453" s="13"/>
    </row>
    <row r="454" spans="1:19" s="9" customFormat="1" ht="12.75" customHeight="1">
      <c r="A454" s="273"/>
      <c r="B454" s="126" t="s">
        <v>365</v>
      </c>
      <c r="C454" s="127">
        <v>60</v>
      </c>
      <c r="D454" s="127">
        <v>1981</v>
      </c>
      <c r="E454" s="128">
        <v>66.4</v>
      </c>
      <c r="F454" s="128">
        <v>5.96</v>
      </c>
      <c r="G454" s="128">
        <v>9.6</v>
      </c>
      <c r="H454" s="128">
        <f>E454-F454-G454</f>
        <v>50.84</v>
      </c>
      <c r="I454" s="129">
        <v>3123.05</v>
      </c>
      <c r="J454" s="128">
        <v>50.84</v>
      </c>
      <c r="K454" s="129">
        <v>3123.05</v>
      </c>
      <c r="L454" s="130">
        <f>J454/K454</f>
        <v>0.016278958069835578</v>
      </c>
      <c r="M454" s="131">
        <v>264.761</v>
      </c>
      <c r="N454" s="131">
        <f>L454*M454</f>
        <v>4.310033217527738</v>
      </c>
      <c r="O454" s="131">
        <f>L454*1000*60</f>
        <v>976.7374841901348</v>
      </c>
      <c r="P454" s="132">
        <f>N454*60</f>
        <v>258.6019930516643</v>
      </c>
      <c r="R454" s="10"/>
      <c r="S454" s="10"/>
    </row>
    <row r="455" spans="1:19" s="9" customFormat="1" ht="12.75" customHeight="1">
      <c r="A455" s="273"/>
      <c r="B455" s="152" t="s">
        <v>739</v>
      </c>
      <c r="C455" s="97">
        <v>30</v>
      </c>
      <c r="D455" s="97">
        <v>1970</v>
      </c>
      <c r="E455" s="153">
        <v>34.96</v>
      </c>
      <c r="F455" s="153">
        <v>2</v>
      </c>
      <c r="G455" s="153">
        <v>4.8</v>
      </c>
      <c r="H455" s="153">
        <v>28.12</v>
      </c>
      <c r="I455" s="231"/>
      <c r="J455" s="153">
        <f>H455</f>
        <v>28.12</v>
      </c>
      <c r="K455" s="155">
        <v>1727</v>
      </c>
      <c r="L455" s="157">
        <f>J455/K455</f>
        <v>0.016282570932252462</v>
      </c>
      <c r="M455" s="183">
        <v>187.69</v>
      </c>
      <c r="N455" s="159">
        <f>L455*M455</f>
        <v>3.0560757382744645</v>
      </c>
      <c r="O455" s="159">
        <f>L455*60*1000</f>
        <v>976.9542559351478</v>
      </c>
      <c r="P455" s="161">
        <f>O455*M455/1000</f>
        <v>183.36454429646787</v>
      </c>
      <c r="R455" s="10"/>
      <c r="S455" s="10"/>
    </row>
    <row r="456" spans="1:19" s="9" customFormat="1" ht="12.75" customHeight="1">
      <c r="A456" s="273"/>
      <c r="B456" s="309" t="s">
        <v>1020</v>
      </c>
      <c r="C456" s="308">
        <v>70</v>
      </c>
      <c r="D456" s="303" t="s">
        <v>24</v>
      </c>
      <c r="E456" s="304">
        <v>57.44</v>
      </c>
      <c r="F456" s="304">
        <v>6.84</v>
      </c>
      <c r="G456" s="305">
        <v>0.68</v>
      </c>
      <c r="H456" s="304">
        <v>49.92</v>
      </c>
      <c r="I456" s="308">
        <v>3063.74</v>
      </c>
      <c r="J456" s="304">
        <v>49.92</v>
      </c>
      <c r="K456" s="307">
        <v>3063.74</v>
      </c>
      <c r="L456" s="157">
        <f>J456/K456</f>
        <v>0.0162938108325119</v>
      </c>
      <c r="M456" s="183">
        <v>269.2</v>
      </c>
      <c r="N456" s="159">
        <f>L456*M456</f>
        <v>4.386293876112203</v>
      </c>
      <c r="O456" s="159">
        <f>L456*60*1000</f>
        <v>977.6286499507139</v>
      </c>
      <c r="P456" s="161">
        <f>O456*M456/1000</f>
        <v>263.1776325667322</v>
      </c>
      <c r="R456" s="10"/>
      <c r="S456" s="10"/>
    </row>
    <row r="457" spans="1:25" s="9" customFormat="1" ht="12.75" customHeight="1">
      <c r="A457" s="273"/>
      <c r="B457" s="126" t="s">
        <v>497</v>
      </c>
      <c r="C457" s="127">
        <v>31</v>
      </c>
      <c r="D457" s="127" t="s">
        <v>24</v>
      </c>
      <c r="E457" s="128">
        <f>SUM(F457:H457)</f>
        <v>28.23</v>
      </c>
      <c r="F457" s="128">
        <v>1.58</v>
      </c>
      <c r="G457" s="128">
        <v>2.53</v>
      </c>
      <c r="H457" s="128">
        <v>24.12</v>
      </c>
      <c r="I457" s="129">
        <v>1226.64</v>
      </c>
      <c r="J457" s="128">
        <v>19.6</v>
      </c>
      <c r="K457" s="129">
        <v>1202.59</v>
      </c>
      <c r="L457" s="157">
        <f>J457/K457</f>
        <v>0.01629815647893297</v>
      </c>
      <c r="M457" s="183">
        <v>206.1</v>
      </c>
      <c r="N457" s="159">
        <f>L457*M457</f>
        <v>3.359050050308085</v>
      </c>
      <c r="O457" s="159">
        <f>L457*60*1000</f>
        <v>977.8893887359783</v>
      </c>
      <c r="P457" s="161">
        <f>O457*M457/1000</f>
        <v>201.5430030184851</v>
      </c>
      <c r="Q457" s="10"/>
      <c r="R457" s="10"/>
      <c r="S457" s="10"/>
      <c r="T457" s="12"/>
      <c r="U457" s="13"/>
      <c r="V457" s="13"/>
      <c r="X457" s="14"/>
      <c r="Y457" s="14"/>
    </row>
    <row r="458" spans="1:19" s="9" customFormat="1" ht="12.75" customHeight="1">
      <c r="A458" s="273"/>
      <c r="B458" s="152" t="s">
        <v>864</v>
      </c>
      <c r="C458" s="97">
        <v>44</v>
      </c>
      <c r="D458" s="97">
        <v>1968</v>
      </c>
      <c r="E458" s="153">
        <f>F458+G458+H458</f>
        <v>51.908697599999996</v>
      </c>
      <c r="F458" s="153">
        <v>2.95544</v>
      </c>
      <c r="G458" s="153">
        <v>7.84</v>
      </c>
      <c r="H458" s="153">
        <v>41.1132576</v>
      </c>
      <c r="I458" s="155">
        <v>2515.7</v>
      </c>
      <c r="J458" s="153">
        <f>H458</f>
        <v>41.1132576</v>
      </c>
      <c r="K458" s="155">
        <f>I458</f>
        <v>2515.7</v>
      </c>
      <c r="L458" s="157">
        <f>J458/K458</f>
        <v>0.01634267106570736</v>
      </c>
      <c r="M458" s="183">
        <v>349.12</v>
      </c>
      <c r="N458" s="159">
        <f>L458*M458</f>
        <v>5.705553322459753</v>
      </c>
      <c r="O458" s="159">
        <f>L458*60*1000</f>
        <v>980.5602639424416</v>
      </c>
      <c r="P458" s="161">
        <f>O458*M458/1000</f>
        <v>342.3331993475852</v>
      </c>
      <c r="R458" s="10"/>
      <c r="S458" s="10"/>
    </row>
    <row r="459" spans="1:19" s="9" customFormat="1" ht="12.75" customHeight="1">
      <c r="A459" s="273"/>
      <c r="B459" s="152" t="s">
        <v>944</v>
      </c>
      <c r="C459" s="97">
        <v>42</v>
      </c>
      <c r="D459" s="97">
        <v>1990</v>
      </c>
      <c r="E459" s="153">
        <v>50.9</v>
      </c>
      <c r="F459" s="153">
        <v>4.222</v>
      </c>
      <c r="G459" s="153">
        <v>6.72</v>
      </c>
      <c r="H459" s="153">
        <v>39.977</v>
      </c>
      <c r="I459" s="155">
        <v>2445.51</v>
      </c>
      <c r="J459" s="153">
        <v>39.977</v>
      </c>
      <c r="K459" s="155">
        <v>2445.51</v>
      </c>
      <c r="L459" s="157">
        <f>J459/K459</f>
        <v>0.016347101422607143</v>
      </c>
      <c r="M459" s="183">
        <v>201.868</v>
      </c>
      <c r="N459" s="159">
        <f>L459*M459</f>
        <v>3.2999566699788585</v>
      </c>
      <c r="O459" s="159">
        <f>L459*60*1000</f>
        <v>980.8260853564286</v>
      </c>
      <c r="P459" s="161">
        <f>O459*M459/1000</f>
        <v>197.99740019873155</v>
      </c>
      <c r="R459" s="10"/>
      <c r="S459" s="10"/>
    </row>
    <row r="460" spans="1:16" s="9" customFormat="1" ht="12.75" customHeight="1">
      <c r="A460" s="273"/>
      <c r="B460" s="152" t="s">
        <v>865</v>
      </c>
      <c r="C460" s="97">
        <v>30</v>
      </c>
      <c r="D460" s="97">
        <v>1990</v>
      </c>
      <c r="E460" s="153">
        <f>F460+G460+H460</f>
        <v>33.577999999999996</v>
      </c>
      <c r="F460" s="153">
        <v>2.201548</v>
      </c>
      <c r="G460" s="153">
        <v>5.1</v>
      </c>
      <c r="H460" s="153">
        <v>26.276452</v>
      </c>
      <c r="I460" s="155">
        <v>1607</v>
      </c>
      <c r="J460" s="153">
        <f>H460</f>
        <v>26.276452</v>
      </c>
      <c r="K460" s="155">
        <f>I460</f>
        <v>1607</v>
      </c>
      <c r="L460" s="157">
        <f>J460/K460</f>
        <v>0.016351245799626633</v>
      </c>
      <c r="M460" s="183">
        <f>M459</f>
        <v>201.868</v>
      </c>
      <c r="N460" s="159">
        <f>L460*M460</f>
        <v>3.300793287079029</v>
      </c>
      <c r="O460" s="159">
        <f>L460*60*1000</f>
        <v>981.074747977598</v>
      </c>
      <c r="P460" s="161">
        <f>O460*M460/1000</f>
        <v>198.04759722474174</v>
      </c>
    </row>
    <row r="461" spans="1:19" s="9" customFormat="1" ht="12.75" customHeight="1">
      <c r="A461" s="273"/>
      <c r="B461" s="152" t="s">
        <v>902</v>
      </c>
      <c r="C461" s="97">
        <v>25</v>
      </c>
      <c r="D461" s="97" t="s">
        <v>892</v>
      </c>
      <c r="E461" s="153">
        <v>28.723</v>
      </c>
      <c r="F461" s="153">
        <v>2.61</v>
      </c>
      <c r="G461" s="153">
        <v>4</v>
      </c>
      <c r="H461" s="153">
        <v>22.113</v>
      </c>
      <c r="I461" s="261"/>
      <c r="J461" s="153">
        <v>22.113</v>
      </c>
      <c r="K461" s="155">
        <v>1351.97</v>
      </c>
      <c r="L461" s="157">
        <f>J461/K461</f>
        <v>0.016356132162695918</v>
      </c>
      <c r="M461" s="183">
        <v>276.97</v>
      </c>
      <c r="N461" s="159">
        <f>L461*M461</f>
        <v>4.530157925101889</v>
      </c>
      <c r="O461" s="159">
        <f>L461*60*1000</f>
        <v>981.3679297617551</v>
      </c>
      <c r="P461" s="161">
        <f>O461*M461/1000</f>
        <v>271.8094755061133</v>
      </c>
      <c r="R461" s="10"/>
      <c r="S461" s="10"/>
    </row>
    <row r="462" spans="1:19" s="9" customFormat="1" ht="12.75" customHeight="1">
      <c r="A462" s="273"/>
      <c r="B462" s="126" t="s">
        <v>366</v>
      </c>
      <c r="C462" s="127">
        <v>30</v>
      </c>
      <c r="D462" s="127">
        <v>1992</v>
      </c>
      <c r="E462" s="128">
        <v>33.9</v>
      </c>
      <c r="F462" s="128">
        <v>3.29</v>
      </c>
      <c r="G462" s="128">
        <v>4.8</v>
      </c>
      <c r="H462" s="128">
        <f>E462-F462-G462</f>
        <v>25.81</v>
      </c>
      <c r="I462" s="129">
        <v>1576.72</v>
      </c>
      <c r="J462" s="128">
        <v>25.81</v>
      </c>
      <c r="K462" s="129">
        <v>1576.72</v>
      </c>
      <c r="L462" s="130">
        <f>J462/K462</f>
        <v>0.016369425135724796</v>
      </c>
      <c r="M462" s="131">
        <v>264.761</v>
      </c>
      <c r="N462" s="131">
        <f>L462*M462</f>
        <v>4.333985368359633</v>
      </c>
      <c r="O462" s="131">
        <f>L462*1000*60</f>
        <v>982.1655081434878</v>
      </c>
      <c r="P462" s="132">
        <f>N462*60</f>
        <v>260.03912210157796</v>
      </c>
      <c r="R462" s="10"/>
      <c r="S462" s="10"/>
    </row>
    <row r="463" spans="1:19" s="9" customFormat="1" ht="12.75" customHeight="1">
      <c r="A463" s="273"/>
      <c r="B463" s="126" t="s">
        <v>389</v>
      </c>
      <c r="C463" s="127">
        <v>50</v>
      </c>
      <c r="D463" s="127">
        <v>1969</v>
      </c>
      <c r="E463" s="128">
        <f>SUM(F463+G463+H463)</f>
        <v>54.6</v>
      </c>
      <c r="F463" s="128">
        <v>4.5</v>
      </c>
      <c r="G463" s="128">
        <v>7.9</v>
      </c>
      <c r="H463" s="128">
        <v>42.2</v>
      </c>
      <c r="I463" s="129">
        <v>2573.06</v>
      </c>
      <c r="J463" s="128">
        <v>42.2</v>
      </c>
      <c r="K463" s="129">
        <v>2573.1</v>
      </c>
      <c r="L463" s="130">
        <f>SUM(J463/K463)</f>
        <v>0.01640045081807936</v>
      </c>
      <c r="M463" s="131">
        <v>215.8</v>
      </c>
      <c r="N463" s="131">
        <f>SUM(L463*M463)</f>
        <v>3.5392172865415263</v>
      </c>
      <c r="O463" s="131">
        <f>L463*60*1000</f>
        <v>984.0270490847616</v>
      </c>
      <c r="P463" s="132">
        <f>SUM(N463*60)</f>
        <v>212.35303719249157</v>
      </c>
      <c r="R463" s="10"/>
      <c r="S463" s="10"/>
    </row>
    <row r="464" spans="1:19" s="9" customFormat="1" ht="12.75" customHeight="1">
      <c r="A464" s="273"/>
      <c r="B464" s="126" t="s">
        <v>331</v>
      </c>
      <c r="C464" s="127">
        <v>13</v>
      </c>
      <c r="D464" s="127">
        <v>1981</v>
      </c>
      <c r="E464" s="128">
        <f>SUM(F464:H464)</f>
        <v>16.409999</v>
      </c>
      <c r="F464" s="128">
        <v>2.5239</v>
      </c>
      <c r="G464" s="128">
        <v>1.92</v>
      </c>
      <c r="H464" s="128">
        <v>11.966099</v>
      </c>
      <c r="I464" s="129">
        <v>729.29</v>
      </c>
      <c r="J464" s="128">
        <v>11.966099</v>
      </c>
      <c r="K464" s="129">
        <v>729.29</v>
      </c>
      <c r="L464" s="130">
        <f>J464/K464</f>
        <v>0.016407874782322533</v>
      </c>
      <c r="M464" s="131">
        <v>285.3</v>
      </c>
      <c r="N464" s="131">
        <f>L464*M464*1.09</f>
        <v>5.102471676182315</v>
      </c>
      <c r="O464" s="131">
        <f>L464*60*1000</f>
        <v>984.4724869393519</v>
      </c>
      <c r="P464" s="132">
        <v>306.1483005709389</v>
      </c>
      <c r="R464" s="10"/>
      <c r="S464" s="10"/>
    </row>
    <row r="465" spans="1:19" s="9" customFormat="1" ht="12.75" customHeight="1">
      <c r="A465" s="273"/>
      <c r="B465" s="152" t="s">
        <v>740</v>
      </c>
      <c r="C465" s="97">
        <v>50</v>
      </c>
      <c r="D465" s="97">
        <v>1971</v>
      </c>
      <c r="E465" s="153">
        <v>53.73</v>
      </c>
      <c r="F465" s="153">
        <v>3.67</v>
      </c>
      <c r="G465" s="153">
        <v>8</v>
      </c>
      <c r="H465" s="153">
        <v>42.06</v>
      </c>
      <c r="I465" s="231"/>
      <c r="J465" s="153">
        <f>H465</f>
        <v>42.06</v>
      </c>
      <c r="K465" s="155">
        <v>2563</v>
      </c>
      <c r="L465" s="157">
        <f>J465/K465</f>
        <v>0.016410456496293406</v>
      </c>
      <c r="M465" s="183">
        <v>187.69</v>
      </c>
      <c r="N465" s="159">
        <f>L465*M465</f>
        <v>3.0800785797893093</v>
      </c>
      <c r="O465" s="159">
        <f>L465*60*1000</f>
        <v>984.6273897776043</v>
      </c>
      <c r="P465" s="161">
        <f>O465*M465/1000</f>
        <v>184.80471478735856</v>
      </c>
      <c r="R465" s="10"/>
      <c r="S465" s="10"/>
    </row>
    <row r="466" spans="1:19" s="9" customFormat="1" ht="12.75" customHeight="1">
      <c r="A466" s="273"/>
      <c r="B466" s="152" t="s">
        <v>576</v>
      </c>
      <c r="C466" s="97">
        <v>60</v>
      </c>
      <c r="D466" s="97">
        <v>1992</v>
      </c>
      <c r="E466" s="153">
        <v>67</v>
      </c>
      <c r="F466" s="153">
        <v>9.30936</v>
      </c>
      <c r="G466" s="153">
        <v>6</v>
      </c>
      <c r="H466" s="153">
        <f>E466-F466-G466</f>
        <v>51.69064</v>
      </c>
      <c r="I466" s="155">
        <v>3137.02</v>
      </c>
      <c r="J466" s="153">
        <f>H466</f>
        <v>51.69064</v>
      </c>
      <c r="K466" s="155">
        <f>I466</f>
        <v>3137.02</v>
      </c>
      <c r="L466" s="157">
        <f>J466/K466</f>
        <v>0.016477625262191507</v>
      </c>
      <c r="M466" s="183">
        <v>279.5</v>
      </c>
      <c r="N466" s="159">
        <f>L466*M466</f>
        <v>4.605496260782527</v>
      </c>
      <c r="O466" s="159">
        <f>L466*60*1000</f>
        <v>988.6575157314904</v>
      </c>
      <c r="P466" s="161">
        <f>O466*M466/1000</f>
        <v>276.3297756469516</v>
      </c>
      <c r="R466" s="10"/>
      <c r="S466" s="10"/>
    </row>
    <row r="467" spans="1:19" s="9" customFormat="1" ht="12.75" customHeight="1">
      <c r="A467" s="273"/>
      <c r="B467" s="126" t="s">
        <v>330</v>
      </c>
      <c r="C467" s="127">
        <v>36</v>
      </c>
      <c r="D467" s="127">
        <v>1984</v>
      </c>
      <c r="E467" s="128">
        <f>SUM(F467:H467)</f>
        <v>44.58</v>
      </c>
      <c r="F467" s="128">
        <v>3.957905</v>
      </c>
      <c r="G467" s="128">
        <v>5.76</v>
      </c>
      <c r="H467" s="128">
        <v>34.862095</v>
      </c>
      <c r="I467" s="129">
        <v>2108.99</v>
      </c>
      <c r="J467" s="128">
        <v>34.862095</v>
      </c>
      <c r="K467" s="129">
        <v>2108.99</v>
      </c>
      <c r="L467" s="130">
        <f>J467/K467</f>
        <v>0.016530232480950598</v>
      </c>
      <c r="M467" s="131">
        <v>285.3</v>
      </c>
      <c r="N467" s="131">
        <f>L467*M467*1.09</f>
        <v>5.140522106228575</v>
      </c>
      <c r="O467" s="131">
        <f>L467*60*1000</f>
        <v>991.8139488570359</v>
      </c>
      <c r="P467" s="132">
        <v>308.4313263737145</v>
      </c>
      <c r="R467" s="10"/>
      <c r="S467" s="10"/>
    </row>
    <row r="468" spans="1:23" s="9" customFormat="1" ht="12.75" customHeight="1">
      <c r="A468" s="273"/>
      <c r="B468" s="152" t="s">
        <v>845</v>
      </c>
      <c r="C468" s="97">
        <v>22</v>
      </c>
      <c r="D468" s="97">
        <v>1983</v>
      </c>
      <c r="E468" s="153">
        <v>25</v>
      </c>
      <c r="F468" s="153">
        <v>2.152</v>
      </c>
      <c r="G468" s="153">
        <v>3.36</v>
      </c>
      <c r="H468" s="153">
        <v>19.488</v>
      </c>
      <c r="I468" s="260" t="s">
        <v>838</v>
      </c>
      <c r="J468" s="153">
        <v>19.488</v>
      </c>
      <c r="K468" s="155">
        <v>1178.53</v>
      </c>
      <c r="L468" s="157">
        <f>J468/K468</f>
        <v>0.016535853987594714</v>
      </c>
      <c r="M468" s="183">
        <v>346.4</v>
      </c>
      <c r="N468" s="159">
        <f>L468*M468</f>
        <v>5.728019821302809</v>
      </c>
      <c r="O468" s="159">
        <f>L468*60*1000</f>
        <v>992.1512392556829</v>
      </c>
      <c r="P468" s="161">
        <f>O468*M468/1000</f>
        <v>343.6811892781685</v>
      </c>
      <c r="Q468" s="10"/>
      <c r="R468" s="10"/>
      <c r="S468" s="10"/>
      <c r="T468" s="12"/>
      <c r="U468" s="13"/>
      <c r="V468" s="13"/>
      <c r="W468" s="14"/>
    </row>
    <row r="469" spans="1:19" s="9" customFormat="1" ht="12.75" customHeight="1">
      <c r="A469" s="273"/>
      <c r="B469" s="126" t="s">
        <v>386</v>
      </c>
      <c r="C469" s="127">
        <v>50</v>
      </c>
      <c r="D469" s="127">
        <v>1973</v>
      </c>
      <c r="E469" s="128">
        <f>SUM(F469+G469+H469)</f>
        <v>57.2</v>
      </c>
      <c r="F469" s="128">
        <v>7.8</v>
      </c>
      <c r="G469" s="128">
        <v>7.8</v>
      </c>
      <c r="H469" s="128">
        <v>41.6</v>
      </c>
      <c r="I469" s="129">
        <v>2510.26</v>
      </c>
      <c r="J469" s="128">
        <v>41.6</v>
      </c>
      <c r="K469" s="129">
        <v>2510.3</v>
      </c>
      <c r="L469" s="130">
        <f>SUM(J469/K469)</f>
        <v>0.016571724495080268</v>
      </c>
      <c r="M469" s="131">
        <v>215.8</v>
      </c>
      <c r="N469" s="131">
        <f>SUM(L469*M469)</f>
        <v>3.576178146038322</v>
      </c>
      <c r="O469" s="131">
        <f>L469*60*1000</f>
        <v>994.303469704816</v>
      </c>
      <c r="P469" s="132">
        <f>SUM(N469*60)</f>
        <v>214.5706887622993</v>
      </c>
      <c r="R469" s="10"/>
      <c r="S469" s="10"/>
    </row>
    <row r="470" spans="1:19" s="9" customFormat="1" ht="12.75" customHeight="1">
      <c r="A470" s="273"/>
      <c r="B470" s="108" t="s">
        <v>611</v>
      </c>
      <c r="C470" s="97">
        <v>30</v>
      </c>
      <c r="D470" s="97">
        <v>1992</v>
      </c>
      <c r="E470" s="153">
        <v>32.896</v>
      </c>
      <c r="F470" s="153">
        <v>3.141</v>
      </c>
      <c r="G470" s="153">
        <v>4.8</v>
      </c>
      <c r="H470" s="153">
        <v>24.955</v>
      </c>
      <c r="I470" s="183">
        <v>1505.1</v>
      </c>
      <c r="J470" s="153">
        <v>24.955</v>
      </c>
      <c r="K470" s="183">
        <v>1505.1</v>
      </c>
      <c r="L470" s="157">
        <f>J470/K470</f>
        <v>0.016580293668194804</v>
      </c>
      <c r="M470" s="183">
        <v>302.3</v>
      </c>
      <c r="N470" s="159">
        <f>L470*M470</f>
        <v>5.01222277589529</v>
      </c>
      <c r="O470" s="159">
        <f>L470*60*1000</f>
        <v>994.8176200916882</v>
      </c>
      <c r="P470" s="161">
        <f>O470*M470/1000</f>
        <v>300.73336655371736</v>
      </c>
      <c r="R470" s="10"/>
      <c r="S470" s="10"/>
    </row>
    <row r="471" spans="1:19" s="9" customFormat="1" ht="12.75" customHeight="1">
      <c r="A471" s="273"/>
      <c r="B471" s="152" t="s">
        <v>846</v>
      </c>
      <c r="C471" s="97">
        <v>22</v>
      </c>
      <c r="D471" s="97">
        <v>1981</v>
      </c>
      <c r="E471" s="153">
        <v>27.393</v>
      </c>
      <c r="F471" s="153">
        <v>3.494</v>
      </c>
      <c r="G471" s="153">
        <v>3.52</v>
      </c>
      <c r="H471" s="153">
        <v>20.378</v>
      </c>
      <c r="I471" s="260" t="s">
        <v>838</v>
      </c>
      <c r="J471" s="153">
        <v>20.377</v>
      </c>
      <c r="K471" s="155">
        <v>1220.59</v>
      </c>
      <c r="L471" s="157">
        <f>J471/K471</f>
        <v>0.01669438550209325</v>
      </c>
      <c r="M471" s="183">
        <v>346.4</v>
      </c>
      <c r="N471" s="159">
        <f>L471*M471</f>
        <v>5.782935137925102</v>
      </c>
      <c r="O471" s="159">
        <f>L471*60*1000</f>
        <v>1001.6631301255951</v>
      </c>
      <c r="P471" s="161">
        <f>O471*M471/1000</f>
        <v>346.97610827550614</v>
      </c>
      <c r="R471" s="10"/>
      <c r="S471" s="10"/>
    </row>
    <row r="472" spans="1:19" s="9" customFormat="1" ht="12.75" customHeight="1">
      <c r="A472" s="273"/>
      <c r="B472" s="126" t="s">
        <v>492</v>
      </c>
      <c r="C472" s="127">
        <v>40</v>
      </c>
      <c r="D472" s="127" t="s">
        <v>24</v>
      </c>
      <c r="E472" s="128">
        <f>SUM(F472:H472)</f>
        <v>52.22</v>
      </c>
      <c r="F472" s="128">
        <v>3.67</v>
      </c>
      <c r="G472" s="128">
        <v>6.52</v>
      </c>
      <c r="H472" s="128">
        <v>42.03</v>
      </c>
      <c r="I472" s="129">
        <v>2512.91</v>
      </c>
      <c r="J472" s="128">
        <v>42.03</v>
      </c>
      <c r="K472" s="129">
        <v>2512.91</v>
      </c>
      <c r="L472" s="157">
        <f>J472/K472</f>
        <v>0.01672562885260515</v>
      </c>
      <c r="M472" s="183">
        <v>206.1</v>
      </c>
      <c r="N472" s="159">
        <f>L472*M472</f>
        <v>3.447152106521921</v>
      </c>
      <c r="O472" s="159">
        <f>L472*60*1000</f>
        <v>1003.537731156309</v>
      </c>
      <c r="P472" s="161">
        <f>O472*M472/1000</f>
        <v>206.82912639131527</v>
      </c>
      <c r="Q472" s="11"/>
      <c r="R472" s="10"/>
      <c r="S472" s="10"/>
    </row>
    <row r="473" spans="1:19" s="9" customFormat="1" ht="12.75" customHeight="1">
      <c r="A473" s="273"/>
      <c r="B473" s="152" t="s">
        <v>741</v>
      </c>
      <c r="C473" s="97">
        <v>50</v>
      </c>
      <c r="D473" s="97">
        <v>1979</v>
      </c>
      <c r="E473" s="153">
        <v>40.79</v>
      </c>
      <c r="F473" s="153">
        <v>3.3</v>
      </c>
      <c r="G473" s="153">
        <v>7.84</v>
      </c>
      <c r="H473" s="153">
        <v>29.6</v>
      </c>
      <c r="I473" s="231"/>
      <c r="J473" s="153">
        <f>H473</f>
        <v>29.6</v>
      </c>
      <c r="K473" s="155">
        <v>1768</v>
      </c>
      <c r="L473" s="157">
        <f>J473/K473</f>
        <v>0.0167420814479638</v>
      </c>
      <c r="M473" s="183">
        <v>187.69</v>
      </c>
      <c r="N473" s="159">
        <f>L473*M473</f>
        <v>3.1423212669683256</v>
      </c>
      <c r="O473" s="159">
        <f>L473*60*1000</f>
        <v>1004.5248868778281</v>
      </c>
      <c r="P473" s="161">
        <f>O473*M473/1000</f>
        <v>188.53927601809954</v>
      </c>
      <c r="R473" s="10"/>
      <c r="S473" s="10"/>
    </row>
    <row r="474" spans="1:19" s="9" customFormat="1" ht="12.75" customHeight="1">
      <c r="A474" s="273"/>
      <c r="B474" s="126" t="s">
        <v>332</v>
      </c>
      <c r="C474" s="127">
        <v>13</v>
      </c>
      <c r="D474" s="127">
        <v>1981</v>
      </c>
      <c r="E474" s="128">
        <f>SUM(F474:H474)</f>
        <v>16.449999</v>
      </c>
      <c r="F474" s="128">
        <v>1.3425</v>
      </c>
      <c r="G474" s="128">
        <v>2.05</v>
      </c>
      <c r="H474" s="128">
        <v>13.057499</v>
      </c>
      <c r="I474" s="129">
        <v>779.03</v>
      </c>
      <c r="J474" s="128">
        <v>13.057499</v>
      </c>
      <c r="K474" s="129">
        <v>779.03</v>
      </c>
      <c r="L474" s="130">
        <f>J474/K474</f>
        <v>0.016761227423847606</v>
      </c>
      <c r="M474" s="131">
        <v>285.3</v>
      </c>
      <c r="N474" s="131">
        <f>L474*M474*1.09</f>
        <v>5.212356220585858</v>
      </c>
      <c r="O474" s="131">
        <f>L474*60*1000</f>
        <v>1005.6736454308564</v>
      </c>
      <c r="P474" s="132">
        <v>312.74137323515146</v>
      </c>
      <c r="R474" s="10"/>
      <c r="S474" s="10"/>
    </row>
    <row r="475" spans="1:19" s="9" customFormat="1" ht="12.75" customHeight="1">
      <c r="A475" s="273"/>
      <c r="B475" s="126" t="s">
        <v>384</v>
      </c>
      <c r="C475" s="127">
        <v>35</v>
      </c>
      <c r="D475" s="127">
        <v>1993</v>
      </c>
      <c r="E475" s="128">
        <f>SUM(F475+G475+H475)</f>
        <v>47.9</v>
      </c>
      <c r="F475" s="128">
        <v>4</v>
      </c>
      <c r="G475" s="128">
        <v>5.6</v>
      </c>
      <c r="H475" s="128">
        <v>38.3</v>
      </c>
      <c r="I475" s="129">
        <v>2275.2</v>
      </c>
      <c r="J475" s="128">
        <v>38.3</v>
      </c>
      <c r="K475" s="129">
        <v>2275.2</v>
      </c>
      <c r="L475" s="130">
        <f>SUM(J475/K475)</f>
        <v>0.01683368495077356</v>
      </c>
      <c r="M475" s="131">
        <v>215.8</v>
      </c>
      <c r="N475" s="131">
        <f>SUM(L475*M475)</f>
        <v>3.632709212376934</v>
      </c>
      <c r="O475" s="131">
        <f>L475*60*1000</f>
        <v>1010.0210970464136</v>
      </c>
      <c r="P475" s="132">
        <f>SUM(N475*60)</f>
        <v>217.96255274261603</v>
      </c>
      <c r="Q475" s="11"/>
      <c r="R475" s="10"/>
      <c r="S475" s="10"/>
    </row>
    <row r="476" spans="1:19" s="9" customFormat="1" ht="12.75" customHeight="1">
      <c r="A476" s="273"/>
      <c r="B476" s="126" t="s">
        <v>35</v>
      </c>
      <c r="C476" s="127">
        <v>49</v>
      </c>
      <c r="D476" s="127">
        <v>1986</v>
      </c>
      <c r="E476" s="128">
        <v>61.324</v>
      </c>
      <c r="F476" s="128">
        <v>6.148356</v>
      </c>
      <c r="G476" s="128">
        <v>7.68</v>
      </c>
      <c r="H476" s="128">
        <v>47.495644</v>
      </c>
      <c r="I476" s="129">
        <v>2820.68</v>
      </c>
      <c r="J476" s="128">
        <v>47.495643</v>
      </c>
      <c r="K476" s="129">
        <v>2820.68</v>
      </c>
      <c r="L476" s="130">
        <f>J476/K476</f>
        <v>0.016838366280471376</v>
      </c>
      <c r="M476" s="127">
        <v>298.66</v>
      </c>
      <c r="N476" s="131">
        <f>L476*M476</f>
        <v>5.028946473325582</v>
      </c>
      <c r="O476" s="131">
        <f>L476*60*1000</f>
        <v>1010.3019768282826</v>
      </c>
      <c r="P476" s="132">
        <f>O476*M476/1000</f>
        <v>301.7367883995349</v>
      </c>
      <c r="R476" s="10"/>
      <c r="S476" s="10"/>
    </row>
    <row r="477" spans="1:19" s="9" customFormat="1" ht="12.75" customHeight="1">
      <c r="A477" s="273"/>
      <c r="B477" s="152" t="s">
        <v>710</v>
      </c>
      <c r="C477" s="97">
        <v>45</v>
      </c>
      <c r="D477" s="97" t="s">
        <v>24</v>
      </c>
      <c r="E477" s="153">
        <v>49.91</v>
      </c>
      <c r="F477" s="153">
        <v>3.47</v>
      </c>
      <c r="G477" s="153">
        <v>7.2</v>
      </c>
      <c r="H477" s="153">
        <v>39.24</v>
      </c>
      <c r="I477" s="155">
        <v>2328</v>
      </c>
      <c r="J477" s="153">
        <v>39.24</v>
      </c>
      <c r="K477" s="155">
        <v>2328</v>
      </c>
      <c r="L477" s="157">
        <f>J477/K477</f>
        <v>0.016855670103092784</v>
      </c>
      <c r="M477" s="183">
        <v>234.2</v>
      </c>
      <c r="N477" s="159">
        <f>L477*M477</f>
        <v>3.94759793814433</v>
      </c>
      <c r="O477" s="159">
        <f>L477*60*1000</f>
        <v>1011.340206185567</v>
      </c>
      <c r="P477" s="161">
        <f>O477*M477/1000</f>
        <v>236.85587628865977</v>
      </c>
      <c r="R477" s="10"/>
      <c r="S477" s="10"/>
    </row>
    <row r="478" spans="1:19" s="9" customFormat="1" ht="12.75" customHeight="1">
      <c r="A478" s="273"/>
      <c r="B478" s="126" t="s">
        <v>38</v>
      </c>
      <c r="C478" s="127">
        <v>60</v>
      </c>
      <c r="D478" s="127">
        <v>1981</v>
      </c>
      <c r="E478" s="128">
        <v>74.454</v>
      </c>
      <c r="F478" s="128">
        <v>9.462499</v>
      </c>
      <c r="G478" s="128">
        <v>9.6</v>
      </c>
      <c r="H478" s="128">
        <v>55.391501</v>
      </c>
      <c r="I478" s="129">
        <v>3285.91</v>
      </c>
      <c r="J478" s="128">
        <v>55.391499</v>
      </c>
      <c r="K478" s="129">
        <v>3285.91</v>
      </c>
      <c r="L478" s="130">
        <f>J478/K478</f>
        <v>0.016857278196907403</v>
      </c>
      <c r="M478" s="127">
        <v>298.66</v>
      </c>
      <c r="N478" s="131">
        <f>L478*M478</f>
        <v>5.034594706288366</v>
      </c>
      <c r="O478" s="131">
        <f>L478*60*1000</f>
        <v>1011.4366918144442</v>
      </c>
      <c r="P478" s="132">
        <f>O478*M478/1000</f>
        <v>302.0756823773019</v>
      </c>
      <c r="R478" s="10"/>
      <c r="S478" s="10"/>
    </row>
    <row r="479" spans="1:16" s="9" customFormat="1" ht="12.75" customHeight="1">
      <c r="A479" s="273"/>
      <c r="B479" s="152" t="s">
        <v>577</v>
      </c>
      <c r="C479" s="97">
        <v>20</v>
      </c>
      <c r="D479" s="97">
        <v>1992</v>
      </c>
      <c r="E479" s="153">
        <v>47.12071</v>
      </c>
      <c r="F479" s="153">
        <v>5.2475</v>
      </c>
      <c r="G479" s="153">
        <v>4</v>
      </c>
      <c r="H479" s="153">
        <f>E479-F479-G479</f>
        <v>37.87321</v>
      </c>
      <c r="I479" s="155">
        <v>2238.28</v>
      </c>
      <c r="J479" s="153">
        <f>H479</f>
        <v>37.87321</v>
      </c>
      <c r="K479" s="155">
        <f>I479</f>
        <v>2238.28</v>
      </c>
      <c r="L479" s="157">
        <f>J479/K479</f>
        <v>0.01692067569741051</v>
      </c>
      <c r="M479" s="183">
        <v>279.5</v>
      </c>
      <c r="N479" s="159">
        <f>L479*M479</f>
        <v>4.729328857426238</v>
      </c>
      <c r="O479" s="159">
        <f>L479*60*1000</f>
        <v>1015.2405418446307</v>
      </c>
      <c r="P479" s="161">
        <f>O479*M479/1000</f>
        <v>283.75973144557423</v>
      </c>
    </row>
    <row r="480" spans="1:19" s="9" customFormat="1" ht="12.75" customHeight="1">
      <c r="A480" s="273"/>
      <c r="B480" s="152" t="s">
        <v>742</v>
      </c>
      <c r="C480" s="97">
        <v>30</v>
      </c>
      <c r="D480" s="97">
        <v>1973</v>
      </c>
      <c r="E480" s="153">
        <v>36.76</v>
      </c>
      <c r="F480" s="153">
        <v>2.65</v>
      </c>
      <c r="G480" s="153">
        <v>4.8</v>
      </c>
      <c r="H480" s="153">
        <v>29.3</v>
      </c>
      <c r="I480" s="231"/>
      <c r="J480" s="153">
        <f>H480</f>
        <v>29.3</v>
      </c>
      <c r="K480" s="155">
        <v>1726</v>
      </c>
      <c r="L480" s="157">
        <f>J480/K480</f>
        <v>0.016975666280417148</v>
      </c>
      <c r="M480" s="183">
        <v>187.69</v>
      </c>
      <c r="N480" s="159">
        <f>L480*M480</f>
        <v>3.1861628041714947</v>
      </c>
      <c r="O480" s="159">
        <f>L480*60*1000</f>
        <v>1018.5399768250289</v>
      </c>
      <c r="P480" s="161">
        <f>O480*M480/1000</f>
        <v>191.16976825028968</v>
      </c>
      <c r="R480" s="10"/>
      <c r="S480" s="10"/>
    </row>
    <row r="481" spans="1:19" s="9" customFormat="1" ht="12.75" customHeight="1">
      <c r="A481" s="273"/>
      <c r="B481" s="152" t="s">
        <v>755</v>
      </c>
      <c r="C481" s="97">
        <v>40</v>
      </c>
      <c r="D481" s="97">
        <v>1989</v>
      </c>
      <c r="E481" s="153">
        <f>F481+G481+H481</f>
        <v>47.519000000000005</v>
      </c>
      <c r="F481" s="153">
        <v>3.635</v>
      </c>
      <c r="G481" s="153">
        <v>6.4</v>
      </c>
      <c r="H481" s="153">
        <v>37.484</v>
      </c>
      <c r="I481" s="155">
        <v>2207.95</v>
      </c>
      <c r="J481" s="153">
        <f>H481</f>
        <v>37.484</v>
      </c>
      <c r="K481" s="155">
        <f>I481</f>
        <v>2207.95</v>
      </c>
      <c r="L481" s="157">
        <f>J481/K481</f>
        <v>0.01697683371453158</v>
      </c>
      <c r="M481" s="183">
        <v>206.9</v>
      </c>
      <c r="N481" s="159">
        <f>L481*M481</f>
        <v>3.512506895536584</v>
      </c>
      <c r="O481" s="159">
        <f>L481*60*1000</f>
        <v>1018.6100228718948</v>
      </c>
      <c r="P481" s="161">
        <f>O481*M481/1000</f>
        <v>210.75041373219503</v>
      </c>
      <c r="R481" s="10"/>
      <c r="S481" s="10"/>
    </row>
    <row r="482" spans="1:19" s="9" customFormat="1" ht="12.75" customHeight="1">
      <c r="A482" s="273"/>
      <c r="B482" s="152" t="s">
        <v>743</v>
      </c>
      <c r="C482" s="97">
        <v>48</v>
      </c>
      <c r="D482" s="97">
        <v>1961</v>
      </c>
      <c r="E482" s="153">
        <v>51.72</v>
      </c>
      <c r="F482" s="153">
        <v>3.21</v>
      </c>
      <c r="G482" s="153">
        <v>7.68</v>
      </c>
      <c r="H482" s="153">
        <v>40.83</v>
      </c>
      <c r="I482" s="231"/>
      <c r="J482" s="153">
        <f>H482</f>
        <v>40.83</v>
      </c>
      <c r="K482" s="155">
        <v>2393</v>
      </c>
      <c r="L482" s="157">
        <f>J482/K482</f>
        <v>0.0170622649394066</v>
      </c>
      <c r="M482" s="183">
        <v>187.69</v>
      </c>
      <c r="N482" s="159">
        <f>L482*M482</f>
        <v>3.202416506477225</v>
      </c>
      <c r="O482" s="159">
        <f>L482*60*1000</f>
        <v>1023.7358963643961</v>
      </c>
      <c r="P482" s="161">
        <f>O482*M482/1000</f>
        <v>192.14499038863352</v>
      </c>
      <c r="Q482" s="11"/>
      <c r="R482" s="10"/>
      <c r="S482" s="10"/>
    </row>
    <row r="483" spans="1:19" s="9" customFormat="1" ht="12.75" customHeight="1">
      <c r="A483" s="273"/>
      <c r="B483" s="126" t="s">
        <v>334</v>
      </c>
      <c r="C483" s="127">
        <v>32</v>
      </c>
      <c r="D483" s="127">
        <v>1974</v>
      </c>
      <c r="E483" s="128">
        <f>SUM(F483:H483)</f>
        <v>38.126002</v>
      </c>
      <c r="F483" s="128">
        <v>2.0943</v>
      </c>
      <c r="G483" s="128">
        <v>4.96</v>
      </c>
      <c r="H483" s="128">
        <v>31.071702</v>
      </c>
      <c r="I483" s="129">
        <v>1820.68</v>
      </c>
      <c r="J483" s="128">
        <v>31.071702</v>
      </c>
      <c r="K483" s="129">
        <v>1820.68</v>
      </c>
      <c r="L483" s="130">
        <f>J483/K483</f>
        <v>0.01706598743326669</v>
      </c>
      <c r="M483" s="131">
        <v>285.3</v>
      </c>
      <c r="N483" s="131">
        <f>L483*M483*1.09</f>
        <v>5.307129574034976</v>
      </c>
      <c r="O483" s="131">
        <f>L483*60*1000</f>
        <v>1023.9592459960014</v>
      </c>
      <c r="P483" s="132">
        <v>318.42777444209855</v>
      </c>
      <c r="R483" s="10"/>
      <c r="S483" s="10"/>
    </row>
    <row r="484" spans="1:19" s="9" customFormat="1" ht="12.75" customHeight="1">
      <c r="A484" s="273"/>
      <c r="B484" s="126" t="s">
        <v>143</v>
      </c>
      <c r="C484" s="127">
        <v>13</v>
      </c>
      <c r="D484" s="127">
        <v>1980</v>
      </c>
      <c r="E484" s="128">
        <f>SUM(F484:H484)</f>
        <v>14.469999999999999</v>
      </c>
      <c r="F484" s="128">
        <v>0.537</v>
      </c>
      <c r="G484" s="128">
        <v>1.92</v>
      </c>
      <c r="H484" s="128">
        <v>12.013</v>
      </c>
      <c r="I484" s="129">
        <v>703.82</v>
      </c>
      <c r="J484" s="128">
        <v>12.013</v>
      </c>
      <c r="K484" s="129">
        <v>703.82</v>
      </c>
      <c r="L484" s="130">
        <f>J484/K484</f>
        <v>0.017068284504560823</v>
      </c>
      <c r="M484" s="131">
        <v>285.3</v>
      </c>
      <c r="N484" s="131">
        <f>L484*M484*1.09</f>
        <v>5.307843910374811</v>
      </c>
      <c r="O484" s="131">
        <f>L484*60*1000</f>
        <v>1024.0970702736495</v>
      </c>
      <c r="P484" s="132">
        <v>318.47063462248866</v>
      </c>
      <c r="R484" s="10"/>
      <c r="S484" s="10"/>
    </row>
    <row r="485" spans="1:19" s="9" customFormat="1" ht="12.75" customHeight="1">
      <c r="A485" s="273"/>
      <c r="B485" s="152" t="s">
        <v>514</v>
      </c>
      <c r="C485" s="97">
        <v>20</v>
      </c>
      <c r="D485" s="97" t="s">
        <v>24</v>
      </c>
      <c r="E485" s="153">
        <f>F485+G485+H485</f>
        <v>22.499000000000002</v>
      </c>
      <c r="F485" s="153">
        <v>2.053</v>
      </c>
      <c r="G485" s="153">
        <v>3.12</v>
      </c>
      <c r="H485" s="153">
        <v>17.326</v>
      </c>
      <c r="I485" s="155">
        <v>1014.75</v>
      </c>
      <c r="J485" s="153">
        <v>17.326</v>
      </c>
      <c r="K485" s="155">
        <v>1014.75</v>
      </c>
      <c r="L485" s="157">
        <f>J485/K485</f>
        <v>0.017074156196107415</v>
      </c>
      <c r="M485" s="183">
        <v>351.85</v>
      </c>
      <c r="N485" s="159">
        <f>L485*M485</f>
        <v>6.007541857600394</v>
      </c>
      <c r="O485" s="159">
        <f>L485*60*1000</f>
        <v>1024.449371766445</v>
      </c>
      <c r="P485" s="161">
        <f>O485*M485/1000</f>
        <v>360.4525114560237</v>
      </c>
      <c r="Q485" s="11"/>
      <c r="R485" s="10"/>
      <c r="S485" s="10"/>
    </row>
    <row r="486" spans="1:19" s="9" customFormat="1" ht="12.75" customHeight="1">
      <c r="A486" s="273"/>
      <c r="B486" s="126" t="s">
        <v>95</v>
      </c>
      <c r="C486" s="127">
        <v>47</v>
      </c>
      <c r="D486" s="127">
        <v>1981</v>
      </c>
      <c r="E486" s="128">
        <v>71.06</v>
      </c>
      <c r="F486" s="128">
        <v>8.79</v>
      </c>
      <c r="G486" s="128">
        <v>11.36</v>
      </c>
      <c r="H486" s="128">
        <f>E486-F486-G486</f>
        <v>50.910000000000004</v>
      </c>
      <c r="I486" s="129">
        <v>2980.6</v>
      </c>
      <c r="J486" s="128">
        <f>H486/I486*K486</f>
        <v>48.747614574246796</v>
      </c>
      <c r="K486" s="127">
        <v>2854</v>
      </c>
      <c r="L486" s="130">
        <f>J486/K486</f>
        <v>0.01708045359994632</v>
      </c>
      <c r="M486" s="140">
        <f>294.4*1.09</f>
        <v>320.896</v>
      </c>
      <c r="N486" s="131">
        <f>L486*M486</f>
        <v>5.481049238408374</v>
      </c>
      <c r="O486" s="131">
        <f>L486*60*1000</f>
        <v>1024.8272159967794</v>
      </c>
      <c r="P486" s="132">
        <f>O486*M486/1000</f>
        <v>328.8629543045025</v>
      </c>
      <c r="Q486" s="11"/>
      <c r="R486" s="10"/>
      <c r="S486" s="10"/>
    </row>
    <row r="487" spans="1:25" s="9" customFormat="1" ht="12.75" customHeight="1">
      <c r="A487" s="273"/>
      <c r="B487" s="152" t="s">
        <v>805</v>
      </c>
      <c r="C487" s="97">
        <v>22</v>
      </c>
      <c r="D487" s="97" t="s">
        <v>24</v>
      </c>
      <c r="E487" s="153">
        <f>F487+G487+H487</f>
        <v>25.94</v>
      </c>
      <c r="F487" s="153">
        <v>1.791</v>
      </c>
      <c r="G487" s="153">
        <v>3.52</v>
      </c>
      <c r="H487" s="153">
        <v>20.629</v>
      </c>
      <c r="I487" s="155">
        <v>1205.61</v>
      </c>
      <c r="J487" s="153">
        <v>20.629</v>
      </c>
      <c r="K487" s="155">
        <v>1205.61</v>
      </c>
      <c r="L487" s="157">
        <f>J487/K487</f>
        <v>0.017110840155605878</v>
      </c>
      <c r="M487" s="183">
        <v>351.85</v>
      </c>
      <c r="N487" s="159">
        <f>L487*M487</f>
        <v>6.020449108749928</v>
      </c>
      <c r="O487" s="159">
        <f>L487*60*1000</f>
        <v>1026.6504093363526</v>
      </c>
      <c r="P487" s="161">
        <f>O487*M487/1000</f>
        <v>361.2269465249957</v>
      </c>
      <c r="Q487" s="10"/>
      <c r="R487" s="10"/>
      <c r="S487" s="10"/>
      <c r="T487" s="12"/>
      <c r="U487" s="13"/>
      <c r="V487" s="13"/>
      <c r="W487" s="14"/>
      <c r="X487" s="14"/>
      <c r="Y487" s="14"/>
    </row>
    <row r="488" spans="1:19" s="9" customFormat="1" ht="12.75" customHeight="1">
      <c r="A488" s="273"/>
      <c r="B488" s="152" t="s">
        <v>806</v>
      </c>
      <c r="C488" s="97">
        <v>20</v>
      </c>
      <c r="D488" s="97" t="s">
        <v>24</v>
      </c>
      <c r="E488" s="153">
        <f>F488+G488+H488</f>
        <v>26.284000000000002</v>
      </c>
      <c r="F488" s="153">
        <v>2.35</v>
      </c>
      <c r="G488" s="153">
        <v>3.2</v>
      </c>
      <c r="H488" s="153">
        <v>20.734</v>
      </c>
      <c r="I488" s="155">
        <v>1210.09</v>
      </c>
      <c r="J488" s="153">
        <v>20.734</v>
      </c>
      <c r="K488" s="155">
        <v>1210.09</v>
      </c>
      <c r="L488" s="157">
        <f>J488/K488</f>
        <v>0.017134262740787876</v>
      </c>
      <c r="M488" s="183">
        <v>351.85</v>
      </c>
      <c r="N488" s="159">
        <f>L488*M488</f>
        <v>6.028690345346215</v>
      </c>
      <c r="O488" s="159">
        <f>L488*60*1000</f>
        <v>1028.0557644472726</v>
      </c>
      <c r="P488" s="161">
        <f>O488*M488/1000</f>
        <v>361.72142072077287</v>
      </c>
      <c r="R488" s="10"/>
      <c r="S488" s="10"/>
    </row>
    <row r="489" spans="1:19" s="9" customFormat="1" ht="12.75" customHeight="1">
      <c r="A489" s="273"/>
      <c r="B489" s="152" t="s">
        <v>847</v>
      </c>
      <c r="C489" s="97">
        <v>40</v>
      </c>
      <c r="D489" s="97" t="s">
        <v>24</v>
      </c>
      <c r="E489" s="153">
        <v>49</v>
      </c>
      <c r="F489" s="153">
        <v>5.437</v>
      </c>
      <c r="G489" s="153">
        <v>6.4</v>
      </c>
      <c r="H489" s="153">
        <v>37.163</v>
      </c>
      <c r="I489" s="260" t="s">
        <v>838</v>
      </c>
      <c r="J489" s="153">
        <v>37.16</v>
      </c>
      <c r="K489" s="155">
        <v>2168.68</v>
      </c>
      <c r="L489" s="157">
        <f>J489/K489</f>
        <v>0.017134847003707324</v>
      </c>
      <c r="M489" s="183">
        <v>346.4</v>
      </c>
      <c r="N489" s="159">
        <f>L489*M489</f>
        <v>5.935511002084216</v>
      </c>
      <c r="O489" s="159">
        <f>L489*60*1000</f>
        <v>1028.0908202224396</v>
      </c>
      <c r="P489" s="161">
        <f>O489*M489/1000</f>
        <v>356.130660125053</v>
      </c>
      <c r="R489" s="10"/>
      <c r="S489" s="10"/>
    </row>
    <row r="490" spans="1:19" s="9" customFormat="1" ht="12.75" customHeight="1">
      <c r="A490" s="273"/>
      <c r="B490" s="126" t="s">
        <v>39</v>
      </c>
      <c r="C490" s="127">
        <v>22</v>
      </c>
      <c r="D490" s="127">
        <v>1989</v>
      </c>
      <c r="E490" s="128">
        <v>26.799</v>
      </c>
      <c r="F490" s="128">
        <v>3.028574</v>
      </c>
      <c r="G490" s="128">
        <v>3.52</v>
      </c>
      <c r="H490" s="128">
        <v>20.250426</v>
      </c>
      <c r="I490" s="129">
        <v>1179.64</v>
      </c>
      <c r="J490" s="128">
        <v>20.250424</v>
      </c>
      <c r="K490" s="129">
        <v>1179.64</v>
      </c>
      <c r="L490" s="130">
        <f>J490/K490</f>
        <v>0.017166613543114845</v>
      </c>
      <c r="M490" s="127">
        <v>298.66</v>
      </c>
      <c r="N490" s="131">
        <f>L490*M490</f>
        <v>5.12698080078668</v>
      </c>
      <c r="O490" s="131">
        <f>L490*60*1000</f>
        <v>1029.9968125868909</v>
      </c>
      <c r="P490" s="132">
        <f>O490*M490/1000</f>
        <v>307.61884804720086</v>
      </c>
      <c r="R490" s="10"/>
      <c r="S490" s="10"/>
    </row>
    <row r="491" spans="1:19" s="9" customFormat="1" ht="12.75" customHeight="1">
      <c r="A491" s="273"/>
      <c r="B491" s="309" t="s">
        <v>1021</v>
      </c>
      <c r="C491" s="302">
        <v>106</v>
      </c>
      <c r="D491" s="303" t="s">
        <v>24</v>
      </c>
      <c r="E491" s="304">
        <v>68.18</v>
      </c>
      <c r="F491" s="304">
        <v>6.07</v>
      </c>
      <c r="G491" s="305">
        <v>17.28</v>
      </c>
      <c r="H491" s="304">
        <v>44.83</v>
      </c>
      <c r="I491" s="306">
        <v>2631.27</v>
      </c>
      <c r="J491" s="304">
        <v>44.48</v>
      </c>
      <c r="K491" s="307">
        <v>2590.66</v>
      </c>
      <c r="L491" s="157">
        <f>J491/K491</f>
        <v>0.01716936996749863</v>
      </c>
      <c r="M491" s="183">
        <v>269.2</v>
      </c>
      <c r="N491" s="159">
        <f>L491*M491</f>
        <v>4.621994395250631</v>
      </c>
      <c r="O491" s="159">
        <f>L491*60*1000</f>
        <v>1030.1621980499178</v>
      </c>
      <c r="P491" s="161">
        <f>O491*M491/1000</f>
        <v>277.31966371503785</v>
      </c>
      <c r="R491" s="10"/>
      <c r="S491" s="10"/>
    </row>
    <row r="492" spans="1:19" s="9" customFormat="1" ht="12.75" customHeight="1">
      <c r="A492" s="273"/>
      <c r="B492" s="152" t="s">
        <v>470</v>
      </c>
      <c r="C492" s="97">
        <v>60</v>
      </c>
      <c r="D492" s="97">
        <v>1985</v>
      </c>
      <c r="E492" s="153">
        <v>71.89</v>
      </c>
      <c r="F492" s="153">
        <v>6.4</v>
      </c>
      <c r="G492" s="153">
        <v>9.6</v>
      </c>
      <c r="H492" s="153">
        <v>55.86</v>
      </c>
      <c r="I492" s="231"/>
      <c r="J492" s="153">
        <f>H492</f>
        <v>55.86</v>
      </c>
      <c r="K492" s="155">
        <v>3253</v>
      </c>
      <c r="L492" s="157">
        <f>J492/K492</f>
        <v>0.017171841377190286</v>
      </c>
      <c r="M492" s="183">
        <v>187.69</v>
      </c>
      <c r="N492" s="159">
        <f>L492*M492</f>
        <v>3.2229829080848447</v>
      </c>
      <c r="O492" s="159">
        <f>L492*60*1000</f>
        <v>1030.310482631417</v>
      </c>
      <c r="P492" s="161">
        <f>O492*M492/1000</f>
        <v>193.37897448509068</v>
      </c>
      <c r="Q492" s="11"/>
      <c r="R492" s="10"/>
      <c r="S492" s="10"/>
    </row>
    <row r="493" spans="1:19" s="9" customFormat="1" ht="12.75" customHeight="1">
      <c r="A493" s="273"/>
      <c r="B493" s="152" t="s">
        <v>756</v>
      </c>
      <c r="C493" s="97">
        <v>42</v>
      </c>
      <c r="D493" s="97">
        <v>1981</v>
      </c>
      <c r="E493" s="153">
        <f>F493+G493+H493</f>
        <v>50.098</v>
      </c>
      <c r="F493" s="153">
        <v>4.502</v>
      </c>
      <c r="G493" s="153">
        <v>6.56</v>
      </c>
      <c r="H493" s="153">
        <v>39.036</v>
      </c>
      <c r="I493" s="155">
        <v>2268.64</v>
      </c>
      <c r="J493" s="153">
        <f>H493</f>
        <v>39.036</v>
      </c>
      <c r="K493" s="155">
        <f>I493</f>
        <v>2268.64</v>
      </c>
      <c r="L493" s="157">
        <f>J493/K493</f>
        <v>0.01720678468157134</v>
      </c>
      <c r="M493" s="183">
        <v>206.9</v>
      </c>
      <c r="N493" s="159">
        <f>L493*M493</f>
        <v>3.5600837506171104</v>
      </c>
      <c r="O493" s="159">
        <f>L493*60*1000</f>
        <v>1032.4070808942804</v>
      </c>
      <c r="P493" s="161">
        <f>O493*M493/1000</f>
        <v>213.60502503702662</v>
      </c>
      <c r="R493" s="10"/>
      <c r="S493" s="10"/>
    </row>
    <row r="494" spans="1:19" s="9" customFormat="1" ht="12.75" customHeight="1">
      <c r="A494" s="273"/>
      <c r="B494" s="152" t="s">
        <v>578</v>
      </c>
      <c r="C494" s="97">
        <v>60</v>
      </c>
      <c r="D494" s="97">
        <v>1991</v>
      </c>
      <c r="E494" s="153">
        <v>48.70168</v>
      </c>
      <c r="F494" s="153">
        <v>3.23461</v>
      </c>
      <c r="G494" s="153">
        <v>6</v>
      </c>
      <c r="H494" s="153">
        <f>E494-F494-G494</f>
        <v>39.46707000000001</v>
      </c>
      <c r="I494" s="155">
        <v>2291</v>
      </c>
      <c r="J494" s="153">
        <f>H494</f>
        <v>39.46707000000001</v>
      </c>
      <c r="K494" s="155">
        <f>I494</f>
        <v>2291</v>
      </c>
      <c r="L494" s="157">
        <f>J494/K494</f>
        <v>0.017227005674378005</v>
      </c>
      <c r="M494" s="183">
        <v>279.5</v>
      </c>
      <c r="N494" s="159">
        <f>L494*M494</f>
        <v>4.814948085988652</v>
      </c>
      <c r="O494" s="159">
        <f>L494*60*1000</f>
        <v>1033.6203404626804</v>
      </c>
      <c r="P494" s="161">
        <f>O494*M494/1000</f>
        <v>288.89688515931914</v>
      </c>
      <c r="R494" s="10"/>
      <c r="S494" s="10"/>
    </row>
    <row r="495" spans="1:19" s="9" customFormat="1" ht="12.75" customHeight="1">
      <c r="A495" s="273"/>
      <c r="B495" s="152" t="s">
        <v>757</v>
      </c>
      <c r="C495" s="97">
        <v>56</v>
      </c>
      <c r="D495" s="97">
        <v>1989</v>
      </c>
      <c r="E495" s="153">
        <f>F495+G495+H495</f>
        <v>52.899</v>
      </c>
      <c r="F495" s="153">
        <v>3.743</v>
      </c>
      <c r="G495" s="153">
        <v>8.8</v>
      </c>
      <c r="H495" s="153">
        <v>40.356</v>
      </c>
      <c r="I495" s="155">
        <v>2337.38</v>
      </c>
      <c r="J495" s="153">
        <f>H495</f>
        <v>40.356</v>
      </c>
      <c r="K495" s="155">
        <f>I495</f>
        <v>2337.38</v>
      </c>
      <c r="L495" s="157">
        <f>J495/K495</f>
        <v>0.01726548528694521</v>
      </c>
      <c r="M495" s="183">
        <v>206.9</v>
      </c>
      <c r="N495" s="159">
        <f>L495*M495</f>
        <v>3.5722289058689642</v>
      </c>
      <c r="O495" s="159">
        <f>L495*60*1000</f>
        <v>1035.9291172167127</v>
      </c>
      <c r="P495" s="161">
        <f>O495*M495/1000</f>
        <v>214.33373435213787</v>
      </c>
      <c r="Q495" s="11"/>
      <c r="R495" s="10"/>
      <c r="S495" s="10"/>
    </row>
    <row r="496" spans="1:19" s="9" customFormat="1" ht="12.75" customHeight="1">
      <c r="A496" s="273"/>
      <c r="B496" s="126" t="s">
        <v>989</v>
      </c>
      <c r="C496" s="127">
        <v>29</v>
      </c>
      <c r="D496" s="127">
        <v>1974</v>
      </c>
      <c r="E496" s="128">
        <v>30.8</v>
      </c>
      <c r="F496" s="128">
        <v>2.59</v>
      </c>
      <c r="G496" s="128">
        <v>4.48</v>
      </c>
      <c r="H496" s="128">
        <v>23.52</v>
      </c>
      <c r="I496" s="129">
        <v>1359</v>
      </c>
      <c r="J496" s="128">
        <v>23.52</v>
      </c>
      <c r="K496" s="129">
        <v>1359</v>
      </c>
      <c r="L496" s="130">
        <f>H496/K496</f>
        <v>0.017306843267108168</v>
      </c>
      <c r="M496" s="131">
        <v>228.46</v>
      </c>
      <c r="N496" s="131">
        <f>L496*M496</f>
        <v>3.953921412803532</v>
      </c>
      <c r="O496" s="131">
        <f>L496*60*1000</f>
        <v>1038.4105960264899</v>
      </c>
      <c r="P496" s="132">
        <f>N496*60</f>
        <v>237.23528476821193</v>
      </c>
      <c r="R496" s="10"/>
      <c r="S496" s="10"/>
    </row>
    <row r="497" spans="1:19" s="9" customFormat="1" ht="12.75" customHeight="1">
      <c r="A497" s="273"/>
      <c r="B497" s="152" t="s">
        <v>758</v>
      </c>
      <c r="C497" s="97">
        <v>32</v>
      </c>
      <c r="D497" s="97">
        <v>1964</v>
      </c>
      <c r="E497" s="153">
        <f>F497+G497+H497</f>
        <v>28.55</v>
      </c>
      <c r="F497" s="153">
        <v>2.531</v>
      </c>
      <c r="G497" s="153">
        <v>5.12</v>
      </c>
      <c r="H497" s="153">
        <v>20.899</v>
      </c>
      <c r="I497" s="155">
        <v>1207.11</v>
      </c>
      <c r="J497" s="153">
        <f>H497</f>
        <v>20.899</v>
      </c>
      <c r="K497" s="155">
        <f>I497</f>
        <v>1207.11</v>
      </c>
      <c r="L497" s="157">
        <f>J497/K497</f>
        <v>0.01731325231337658</v>
      </c>
      <c r="M497" s="183">
        <v>206.9</v>
      </c>
      <c r="N497" s="159">
        <f>L497*M497</f>
        <v>3.5821119036376143</v>
      </c>
      <c r="O497" s="159">
        <f>L497*60*1000</f>
        <v>1038.7951388025947</v>
      </c>
      <c r="P497" s="161">
        <f>O497*M497/1000</f>
        <v>214.92671421825685</v>
      </c>
      <c r="Q497" s="11"/>
      <c r="R497" s="10"/>
      <c r="S497" s="10"/>
    </row>
    <row r="498" spans="1:19" s="9" customFormat="1" ht="12.75" customHeight="1">
      <c r="A498" s="273"/>
      <c r="B498" s="152" t="s">
        <v>513</v>
      </c>
      <c r="C498" s="97">
        <v>45</v>
      </c>
      <c r="D498" s="97" t="s">
        <v>24</v>
      </c>
      <c r="E498" s="153">
        <f>F498+G498+H498</f>
        <v>43.263999999999996</v>
      </c>
      <c r="F498" s="153">
        <v>3.032</v>
      </c>
      <c r="G498" s="153">
        <v>7.2</v>
      </c>
      <c r="H498" s="153">
        <v>33.032</v>
      </c>
      <c r="I498" s="155">
        <v>1903.57</v>
      </c>
      <c r="J498" s="153">
        <v>33.032</v>
      </c>
      <c r="K498" s="155">
        <v>1903.57</v>
      </c>
      <c r="L498" s="157">
        <f>J498/K498</f>
        <v>0.017352658426010074</v>
      </c>
      <c r="M498" s="183">
        <v>351.85</v>
      </c>
      <c r="N498" s="159">
        <f>L498*M498</f>
        <v>6.105532867191645</v>
      </c>
      <c r="O498" s="159">
        <f>L498*60*1000</f>
        <v>1041.1595055606044</v>
      </c>
      <c r="P498" s="161">
        <f>O498*M498/1000</f>
        <v>366.33197203149865</v>
      </c>
      <c r="Q498" s="11"/>
      <c r="R498" s="10"/>
      <c r="S498" s="10"/>
    </row>
    <row r="499" spans="1:19" s="9" customFormat="1" ht="12.75" customHeight="1">
      <c r="A499" s="273"/>
      <c r="B499" s="152" t="s">
        <v>807</v>
      </c>
      <c r="C499" s="97">
        <v>40</v>
      </c>
      <c r="D499" s="97" t="s">
        <v>24</v>
      </c>
      <c r="E499" s="153">
        <f>F499+G499+H499</f>
        <v>49.5</v>
      </c>
      <c r="F499" s="153">
        <v>4.04</v>
      </c>
      <c r="G499" s="153">
        <v>6.4</v>
      </c>
      <c r="H499" s="153">
        <v>39.06</v>
      </c>
      <c r="I499" s="155">
        <v>2248.6</v>
      </c>
      <c r="J499" s="153">
        <v>39.06</v>
      </c>
      <c r="K499" s="155">
        <v>2248.6</v>
      </c>
      <c r="L499" s="157">
        <f>J499/K499</f>
        <v>0.017370808503068578</v>
      </c>
      <c r="M499" s="183">
        <v>351.85</v>
      </c>
      <c r="N499" s="159">
        <f>L499*M499</f>
        <v>6.11191897180468</v>
      </c>
      <c r="O499" s="159">
        <f>L499*60*1000</f>
        <v>1042.2485101841146</v>
      </c>
      <c r="P499" s="161">
        <f>O499*M499/1000</f>
        <v>366.71513830828076</v>
      </c>
      <c r="R499" s="10"/>
      <c r="S499" s="10"/>
    </row>
    <row r="500" spans="1:22" s="9" customFormat="1" ht="12.75" customHeight="1">
      <c r="A500" s="273"/>
      <c r="B500" s="152" t="s">
        <v>471</v>
      </c>
      <c r="C500" s="97">
        <v>60</v>
      </c>
      <c r="D500" s="97">
        <v>1981</v>
      </c>
      <c r="E500" s="153">
        <v>72.76</v>
      </c>
      <c r="F500" s="153">
        <v>6.6</v>
      </c>
      <c r="G500" s="153">
        <v>9.6</v>
      </c>
      <c r="H500" s="153">
        <v>56.53</v>
      </c>
      <c r="I500" s="231"/>
      <c r="J500" s="153">
        <f>H500</f>
        <v>56.53</v>
      </c>
      <c r="K500" s="155">
        <v>3252</v>
      </c>
      <c r="L500" s="157">
        <f>J500/K500</f>
        <v>0.017383148831488317</v>
      </c>
      <c r="M500" s="183">
        <v>187.69</v>
      </c>
      <c r="N500" s="159">
        <f>L500*M500</f>
        <v>3.262643204182042</v>
      </c>
      <c r="O500" s="159">
        <f>L500*60*1000</f>
        <v>1042.988929889299</v>
      </c>
      <c r="P500" s="161">
        <f>O500*M500/1000</f>
        <v>195.75859225092253</v>
      </c>
      <c r="Q500" s="10"/>
      <c r="R500" s="10"/>
      <c r="S500" s="10"/>
      <c r="T500" s="12"/>
      <c r="U500" s="13"/>
      <c r="V500" s="13"/>
    </row>
    <row r="501" spans="1:19" s="9" customFormat="1" ht="12.75" customHeight="1">
      <c r="A501" s="273"/>
      <c r="B501" s="173" t="s">
        <v>626</v>
      </c>
      <c r="C501" s="174">
        <v>20</v>
      </c>
      <c r="D501" s="127">
        <v>1985</v>
      </c>
      <c r="E501" s="128">
        <f>+F501+G501+H501</f>
        <v>23.334003000000003</v>
      </c>
      <c r="F501" s="175">
        <v>1.953952</v>
      </c>
      <c r="G501" s="175">
        <v>3.2</v>
      </c>
      <c r="H501" s="175">
        <v>18.180051000000002</v>
      </c>
      <c r="I501" s="176">
        <v>1045.6200000000001</v>
      </c>
      <c r="J501" s="175">
        <v>18.180051000000002</v>
      </c>
      <c r="K501" s="176">
        <v>1045.6200000000001</v>
      </c>
      <c r="L501" s="130">
        <f>+J501/K501</f>
        <v>0.017386862340047052</v>
      </c>
      <c r="M501" s="131">
        <v>338.118</v>
      </c>
      <c r="N501" s="131">
        <f>+L501*M501</f>
        <v>5.8788111206920295</v>
      </c>
      <c r="O501" s="131">
        <f>+L501*60*1000</f>
        <v>1043.2117404028231</v>
      </c>
      <c r="P501" s="132">
        <f>+N501*60</f>
        <v>352.72866724152175</v>
      </c>
      <c r="Q501" s="11"/>
      <c r="R501" s="10"/>
      <c r="S501" s="10"/>
    </row>
    <row r="502" spans="1:19" s="9" customFormat="1" ht="12.75" customHeight="1">
      <c r="A502" s="273"/>
      <c r="B502" s="152" t="s">
        <v>808</v>
      </c>
      <c r="C502" s="97">
        <v>22</v>
      </c>
      <c r="D502" s="97" t="s">
        <v>24</v>
      </c>
      <c r="E502" s="153">
        <f>F502+G502+H502</f>
        <v>25.378</v>
      </c>
      <c r="F502" s="153">
        <v>1.667</v>
      </c>
      <c r="G502" s="153">
        <v>3.52</v>
      </c>
      <c r="H502" s="153">
        <v>20.191</v>
      </c>
      <c r="I502" s="155">
        <v>1161.06</v>
      </c>
      <c r="J502" s="153">
        <v>20.191</v>
      </c>
      <c r="K502" s="155">
        <v>1161.06</v>
      </c>
      <c r="L502" s="157">
        <f>J502/K502</f>
        <v>0.017390143489569874</v>
      </c>
      <c r="M502" s="183">
        <v>351.85</v>
      </c>
      <c r="N502" s="159">
        <f>L502*M502</f>
        <v>6.118721986805161</v>
      </c>
      <c r="O502" s="159">
        <f>L502*60*1000</f>
        <v>1043.4086093741926</v>
      </c>
      <c r="P502" s="161">
        <f>O502*M502/1000</f>
        <v>367.1233192083097</v>
      </c>
      <c r="R502" s="10"/>
      <c r="S502" s="10"/>
    </row>
    <row r="503" spans="1:19" s="9" customFormat="1" ht="12.75" customHeight="1">
      <c r="A503" s="273"/>
      <c r="B503" s="152" t="s">
        <v>809</v>
      </c>
      <c r="C503" s="97">
        <v>19</v>
      </c>
      <c r="D503" s="97" t="s">
        <v>24</v>
      </c>
      <c r="E503" s="153">
        <f>F503+G503+H503</f>
        <v>21.839</v>
      </c>
      <c r="F503" s="153">
        <v>1.567</v>
      </c>
      <c r="G503" s="153">
        <v>2.88</v>
      </c>
      <c r="H503" s="153">
        <v>17.392</v>
      </c>
      <c r="I503" s="155">
        <v>998.64</v>
      </c>
      <c r="J503" s="153">
        <v>17.392</v>
      </c>
      <c r="K503" s="155">
        <v>998.64</v>
      </c>
      <c r="L503" s="157">
        <f>J503/K503</f>
        <v>0.01741568533205159</v>
      </c>
      <c r="M503" s="183">
        <v>351.85</v>
      </c>
      <c r="N503" s="159">
        <f>L503*M503</f>
        <v>6.127708884082352</v>
      </c>
      <c r="O503" s="159">
        <f>L503*60*1000</f>
        <v>1044.9411199230956</v>
      </c>
      <c r="P503" s="161">
        <f>O503*M503/1000</f>
        <v>367.6625330449412</v>
      </c>
      <c r="Q503" s="11"/>
      <c r="R503" s="10"/>
      <c r="S503" s="10"/>
    </row>
    <row r="504" spans="1:19" s="9" customFormat="1" ht="12.75" customHeight="1">
      <c r="A504" s="273"/>
      <c r="B504" s="152" t="s">
        <v>711</v>
      </c>
      <c r="C504" s="97">
        <v>26</v>
      </c>
      <c r="D504" s="97" t="s">
        <v>24</v>
      </c>
      <c r="E504" s="153">
        <v>32.01</v>
      </c>
      <c r="F504" s="153">
        <v>1.68</v>
      </c>
      <c r="G504" s="153">
        <v>4</v>
      </c>
      <c r="H504" s="153">
        <v>26.33</v>
      </c>
      <c r="I504" s="155">
        <v>1511</v>
      </c>
      <c r="J504" s="153">
        <v>26.33</v>
      </c>
      <c r="K504" s="155">
        <v>1511</v>
      </c>
      <c r="L504" s="157">
        <f>J504/K504</f>
        <v>0.017425545996029117</v>
      </c>
      <c r="M504" s="183">
        <v>234.2</v>
      </c>
      <c r="N504" s="159">
        <f>L504*M504</f>
        <v>4.081062872270019</v>
      </c>
      <c r="O504" s="159">
        <f>L504*60*1000</f>
        <v>1045.532759761747</v>
      </c>
      <c r="P504" s="161">
        <f>O504*M504/1000</f>
        <v>244.86377233620112</v>
      </c>
      <c r="R504" s="10"/>
      <c r="S504" s="10"/>
    </row>
    <row r="505" spans="1:19" s="9" customFormat="1" ht="12.75" customHeight="1">
      <c r="A505" s="273"/>
      <c r="B505" s="152" t="s">
        <v>903</v>
      </c>
      <c r="C505" s="97">
        <v>45</v>
      </c>
      <c r="D505" s="97" t="s">
        <v>892</v>
      </c>
      <c r="E505" s="153">
        <v>50.216</v>
      </c>
      <c r="F505" s="153">
        <v>4.629</v>
      </c>
      <c r="G505" s="153">
        <v>7.2</v>
      </c>
      <c r="H505" s="153">
        <v>38.387</v>
      </c>
      <c r="I505" s="261"/>
      <c r="J505" s="153">
        <v>38.387</v>
      </c>
      <c r="K505" s="155">
        <v>2197.71</v>
      </c>
      <c r="L505" s="157">
        <f>J505/K505</f>
        <v>0.0174668177330039</v>
      </c>
      <c r="M505" s="183">
        <v>276.97</v>
      </c>
      <c r="N505" s="159">
        <f>L505*M505</f>
        <v>4.837784507510091</v>
      </c>
      <c r="O505" s="159">
        <f>L505*60*1000</f>
        <v>1048.009063980234</v>
      </c>
      <c r="P505" s="161">
        <f>O505*M505/1000</f>
        <v>290.2670704506055</v>
      </c>
      <c r="R505" s="10"/>
      <c r="S505" s="10"/>
    </row>
    <row r="506" spans="1:16" s="9" customFormat="1" ht="12.75" customHeight="1">
      <c r="A506" s="273"/>
      <c r="B506" s="152" t="s">
        <v>810</v>
      </c>
      <c r="C506" s="97">
        <v>20</v>
      </c>
      <c r="D506" s="97" t="s">
        <v>24</v>
      </c>
      <c r="E506" s="153">
        <f>F506+G506+H506</f>
        <v>23.184</v>
      </c>
      <c r="F506" s="153">
        <v>1.545</v>
      </c>
      <c r="G506" s="153">
        <v>3.2</v>
      </c>
      <c r="H506" s="153">
        <v>18.439</v>
      </c>
      <c r="I506" s="155">
        <v>1054.08</v>
      </c>
      <c r="J506" s="153">
        <v>18.438</v>
      </c>
      <c r="K506" s="155">
        <v>1054.08</v>
      </c>
      <c r="L506" s="157">
        <f>J506/K506</f>
        <v>0.01749203096539162</v>
      </c>
      <c r="M506" s="183">
        <v>351.85</v>
      </c>
      <c r="N506" s="159">
        <f>L506*M506</f>
        <v>6.154571095173042</v>
      </c>
      <c r="O506" s="159">
        <f>L506*60*1000</f>
        <v>1049.521857923497</v>
      </c>
      <c r="P506" s="161">
        <f>O506*M506/1000</f>
        <v>369.27426571038245</v>
      </c>
    </row>
    <row r="507" spans="1:19" s="9" customFormat="1" ht="12.75" customHeight="1">
      <c r="A507" s="273"/>
      <c r="B507" s="126" t="s">
        <v>94</v>
      </c>
      <c r="C507" s="127">
        <v>41</v>
      </c>
      <c r="D507" s="127">
        <v>1987</v>
      </c>
      <c r="E507" s="128">
        <v>50.35</v>
      </c>
      <c r="F507" s="128">
        <v>3.69</v>
      </c>
      <c r="G507" s="128">
        <v>6.08</v>
      </c>
      <c r="H507" s="128">
        <f>E507-F507-G507</f>
        <v>40.580000000000005</v>
      </c>
      <c r="I507" s="129">
        <v>2315.8</v>
      </c>
      <c r="J507" s="128">
        <f>H507/I507*K507</f>
        <v>28.930641678901463</v>
      </c>
      <c r="K507" s="127">
        <v>1651</v>
      </c>
      <c r="L507" s="130">
        <f>J507/K507</f>
        <v>0.017523102167717422</v>
      </c>
      <c r="M507" s="140">
        <f>294.4*1.09</f>
        <v>320.896</v>
      </c>
      <c r="N507" s="131">
        <f>L507*M507</f>
        <v>5.6230933932118505</v>
      </c>
      <c r="O507" s="131">
        <f>L507*60*1000</f>
        <v>1051.3861300630454</v>
      </c>
      <c r="P507" s="132">
        <f>O507*M507/1000</f>
        <v>337.38560359271105</v>
      </c>
      <c r="R507" s="10"/>
      <c r="S507" s="10"/>
    </row>
    <row r="508" spans="1:19" s="9" customFormat="1" ht="12.75" customHeight="1">
      <c r="A508" s="273"/>
      <c r="B508" s="152" t="s">
        <v>515</v>
      </c>
      <c r="C508" s="97">
        <v>18</v>
      </c>
      <c r="D508" s="97" t="s">
        <v>24</v>
      </c>
      <c r="E508" s="153">
        <f>F508+G508+H508</f>
        <v>23</v>
      </c>
      <c r="F508" s="153">
        <v>2.536</v>
      </c>
      <c r="G508" s="153">
        <v>2.88</v>
      </c>
      <c r="H508" s="153">
        <v>17.584</v>
      </c>
      <c r="I508" s="155">
        <v>1002</v>
      </c>
      <c r="J508" s="153">
        <v>17.584</v>
      </c>
      <c r="K508" s="155">
        <v>1002</v>
      </c>
      <c r="L508" s="157">
        <f>J508/K508</f>
        <v>0.01754890219560878</v>
      </c>
      <c r="M508" s="183">
        <v>351.85</v>
      </c>
      <c r="N508" s="159">
        <f>L508*M508</f>
        <v>6.17458123752495</v>
      </c>
      <c r="O508" s="159">
        <f>L508*60*1000</f>
        <v>1052.9341317365268</v>
      </c>
      <c r="P508" s="161">
        <f>O508*M508/1000</f>
        <v>370.474874251497</v>
      </c>
      <c r="R508" s="10"/>
      <c r="S508" s="10"/>
    </row>
    <row r="509" spans="1:19" s="9" customFormat="1" ht="12.75" customHeight="1">
      <c r="A509" s="273"/>
      <c r="B509" s="173" t="s">
        <v>627</v>
      </c>
      <c r="C509" s="174">
        <v>20</v>
      </c>
      <c r="D509" s="127">
        <v>1985</v>
      </c>
      <c r="E509" s="128">
        <f>+F509+G509+H509</f>
        <v>24.193002</v>
      </c>
      <c r="F509" s="175">
        <v>1.937848</v>
      </c>
      <c r="G509" s="175">
        <v>3.2</v>
      </c>
      <c r="H509" s="175">
        <v>19.055154</v>
      </c>
      <c r="I509" s="176">
        <v>1084.74</v>
      </c>
      <c r="J509" s="175">
        <v>19.055154</v>
      </c>
      <c r="K509" s="176">
        <v>1084.74</v>
      </c>
      <c r="L509" s="130">
        <f>+J509/K509</f>
        <v>0.01756656341611815</v>
      </c>
      <c r="M509" s="131">
        <v>338.118</v>
      </c>
      <c r="N509" s="131">
        <f>+L509*M509</f>
        <v>5.939571289131036</v>
      </c>
      <c r="O509" s="131">
        <f>+L509*60*1000</f>
        <v>1053.9938049670889</v>
      </c>
      <c r="P509" s="132">
        <f>+N509*60</f>
        <v>356.3742773478622</v>
      </c>
      <c r="R509" s="10"/>
      <c r="S509" s="10"/>
    </row>
    <row r="510" spans="1:19" s="9" customFormat="1" ht="12.75" customHeight="1">
      <c r="A510" s="273"/>
      <c r="B510" s="126" t="s">
        <v>383</v>
      </c>
      <c r="C510" s="127">
        <v>28</v>
      </c>
      <c r="D510" s="127">
        <v>1998</v>
      </c>
      <c r="E510" s="128">
        <f>SUM(F510+G510+H510)</f>
        <v>27.700000000000003</v>
      </c>
      <c r="F510" s="128">
        <v>1.7</v>
      </c>
      <c r="G510" s="128">
        <v>4.4</v>
      </c>
      <c r="H510" s="128">
        <v>21.6</v>
      </c>
      <c r="I510" s="129">
        <v>1228.24</v>
      </c>
      <c r="J510" s="128">
        <v>21.6</v>
      </c>
      <c r="K510" s="129">
        <v>1228.2</v>
      </c>
      <c r="L510" s="130">
        <f>SUM(J510/K510)</f>
        <v>0.017586712261846604</v>
      </c>
      <c r="M510" s="131">
        <v>215.8</v>
      </c>
      <c r="N510" s="131">
        <f>SUM(L510*M510)</f>
        <v>3.7952125061064974</v>
      </c>
      <c r="O510" s="131">
        <f>L510*60*1000</f>
        <v>1055.2027357107963</v>
      </c>
      <c r="P510" s="132">
        <f>SUM(N510*60)</f>
        <v>227.71275036638986</v>
      </c>
      <c r="R510" s="10"/>
      <c r="S510" s="10"/>
    </row>
    <row r="511" spans="1:19" s="9" customFormat="1" ht="12.75" customHeight="1">
      <c r="A511" s="273"/>
      <c r="B511" s="173" t="s">
        <v>628</v>
      </c>
      <c r="C511" s="174">
        <v>22</v>
      </c>
      <c r="D511" s="127">
        <v>1980</v>
      </c>
      <c r="E511" s="128">
        <f>+F511+G511+H511</f>
        <v>27.015001999999996</v>
      </c>
      <c r="F511" s="175">
        <v>1.8788</v>
      </c>
      <c r="G511" s="175">
        <v>3.52</v>
      </c>
      <c r="H511" s="175">
        <v>21.616201999999998</v>
      </c>
      <c r="I511" s="176">
        <v>1227.33</v>
      </c>
      <c r="J511" s="175">
        <v>21.616201999999998</v>
      </c>
      <c r="K511" s="176">
        <v>1227.33</v>
      </c>
      <c r="L511" s="130">
        <f>+J511/K511</f>
        <v>0.017612379718576095</v>
      </c>
      <c r="M511" s="131">
        <v>338.118</v>
      </c>
      <c r="N511" s="131">
        <f>+L511*M511</f>
        <v>5.955062605685512</v>
      </c>
      <c r="O511" s="131">
        <f>+L511*60*1000</f>
        <v>1056.7427831145658</v>
      </c>
      <c r="P511" s="132">
        <f>+N511*60</f>
        <v>357.30375634113074</v>
      </c>
      <c r="R511" s="10"/>
      <c r="S511" s="10"/>
    </row>
    <row r="512" spans="1:19" s="9" customFormat="1" ht="12.75" customHeight="1">
      <c r="A512" s="273"/>
      <c r="B512" s="173" t="s">
        <v>274</v>
      </c>
      <c r="C512" s="174">
        <v>28</v>
      </c>
      <c r="D512" s="127">
        <v>1987</v>
      </c>
      <c r="E512" s="128">
        <f>+F512+G512+H512</f>
        <v>27.22011</v>
      </c>
      <c r="F512" s="175">
        <v>2.25456</v>
      </c>
      <c r="G512" s="175">
        <v>4.32</v>
      </c>
      <c r="H512" s="175">
        <v>20.64555</v>
      </c>
      <c r="I512" s="176">
        <v>1209.81</v>
      </c>
      <c r="J512" s="175">
        <v>20.64555</v>
      </c>
      <c r="K512" s="176">
        <v>1171.56</v>
      </c>
      <c r="L512" s="130">
        <f>+J512/K512</f>
        <v>0.017622272866946637</v>
      </c>
      <c r="M512" s="131">
        <v>338.118</v>
      </c>
      <c r="N512" s="131">
        <f>+L512*M512</f>
        <v>5.958407657226263</v>
      </c>
      <c r="O512" s="131">
        <f>+L512*60*1000</f>
        <v>1057.3363720167984</v>
      </c>
      <c r="P512" s="132">
        <f>+N512*60</f>
        <v>357.5044594335758</v>
      </c>
      <c r="R512" s="10"/>
      <c r="S512" s="10"/>
    </row>
    <row r="513" spans="1:19" s="9" customFormat="1" ht="12.75" customHeight="1">
      <c r="A513" s="273"/>
      <c r="B513" s="173" t="s">
        <v>275</v>
      </c>
      <c r="C513" s="174">
        <v>12</v>
      </c>
      <c r="D513" s="127">
        <v>1987</v>
      </c>
      <c r="E513" s="128">
        <f>+F513+G513+H513</f>
        <v>13.755956000000001</v>
      </c>
      <c r="F513" s="175">
        <v>1.28832</v>
      </c>
      <c r="G513" s="175">
        <v>1.92</v>
      </c>
      <c r="H513" s="175">
        <v>10.547636</v>
      </c>
      <c r="I513" s="176">
        <v>598.54</v>
      </c>
      <c r="J513" s="175">
        <v>10.547636</v>
      </c>
      <c r="K513" s="176">
        <v>598.54</v>
      </c>
      <c r="L513" s="130">
        <f>+J513/K513</f>
        <v>0.017622274200554684</v>
      </c>
      <c r="M513" s="131">
        <v>338.118</v>
      </c>
      <c r="N513" s="131">
        <f>+L513*M513</f>
        <v>5.958408108143149</v>
      </c>
      <c r="O513" s="131">
        <f>+L513*60*1000</f>
        <v>1057.3364520332811</v>
      </c>
      <c r="P513" s="132">
        <f>+N513*60</f>
        <v>357.50448648858895</v>
      </c>
      <c r="R513" s="10"/>
      <c r="S513" s="10"/>
    </row>
    <row r="514" spans="1:19" s="9" customFormat="1" ht="12.75" customHeight="1">
      <c r="A514" s="273"/>
      <c r="B514" s="152" t="s">
        <v>221</v>
      </c>
      <c r="C514" s="97">
        <v>24</v>
      </c>
      <c r="D514" s="97" t="s">
        <v>24</v>
      </c>
      <c r="E514" s="153">
        <v>25</v>
      </c>
      <c r="F514" s="153">
        <v>1.73</v>
      </c>
      <c r="G514" s="153">
        <v>3.76</v>
      </c>
      <c r="H514" s="153">
        <v>19.51</v>
      </c>
      <c r="I514" s="155">
        <v>1107</v>
      </c>
      <c r="J514" s="153">
        <v>19.51</v>
      </c>
      <c r="K514" s="155">
        <v>1107</v>
      </c>
      <c r="L514" s="157">
        <f>J514/K514</f>
        <v>0.017624209575429088</v>
      </c>
      <c r="M514" s="183">
        <v>234.2</v>
      </c>
      <c r="N514" s="159">
        <f>L514*M514</f>
        <v>4.127589882565492</v>
      </c>
      <c r="O514" s="159">
        <f>L514*60*1000</f>
        <v>1057.4525745257451</v>
      </c>
      <c r="P514" s="161">
        <f>O514*M514/1000</f>
        <v>247.6553929539295</v>
      </c>
      <c r="R514" s="10"/>
      <c r="S514" s="10"/>
    </row>
    <row r="515" spans="1:19" s="9" customFormat="1" ht="12.75" customHeight="1">
      <c r="A515" s="273"/>
      <c r="B515" s="173" t="s">
        <v>629</v>
      </c>
      <c r="C515" s="174">
        <v>13</v>
      </c>
      <c r="D515" s="127">
        <v>1961</v>
      </c>
      <c r="E515" s="128">
        <f>+F515+G515+H515</f>
        <v>11.420241</v>
      </c>
      <c r="F515" s="175">
        <v>0.83204</v>
      </c>
      <c r="G515" s="175">
        <v>2</v>
      </c>
      <c r="H515" s="175">
        <v>8.588201</v>
      </c>
      <c r="I515" s="176">
        <v>846.44</v>
      </c>
      <c r="J515" s="175">
        <v>8.588201</v>
      </c>
      <c r="K515" s="176">
        <v>485.54</v>
      </c>
      <c r="L515" s="130">
        <f>+J515/K515</f>
        <v>0.017687937142151007</v>
      </c>
      <c r="M515" s="131">
        <v>338.118</v>
      </c>
      <c r="N515" s="131">
        <f>+L515*M515</f>
        <v>5.980609930629814</v>
      </c>
      <c r="O515" s="131">
        <f>+L515*60*1000</f>
        <v>1061.2762285290605</v>
      </c>
      <c r="P515" s="132">
        <f>+N515*60</f>
        <v>358.8365958377889</v>
      </c>
      <c r="R515" s="10"/>
      <c r="S515" s="10"/>
    </row>
    <row r="516" spans="1:19" s="9" customFormat="1" ht="12.75" customHeight="1">
      <c r="A516" s="273"/>
      <c r="B516" s="152" t="s">
        <v>904</v>
      </c>
      <c r="C516" s="97">
        <v>55</v>
      </c>
      <c r="D516" s="97" t="s">
        <v>892</v>
      </c>
      <c r="E516" s="153">
        <v>61.969</v>
      </c>
      <c r="F516" s="153">
        <v>5.215</v>
      </c>
      <c r="G516" s="153">
        <v>8.8</v>
      </c>
      <c r="H516" s="153">
        <v>47.954</v>
      </c>
      <c r="I516" s="261"/>
      <c r="J516" s="153">
        <v>47.954</v>
      </c>
      <c r="K516" s="155">
        <v>2709.88</v>
      </c>
      <c r="L516" s="157">
        <f>J516/K516</f>
        <v>0.01769598653814929</v>
      </c>
      <c r="M516" s="183">
        <v>276.97</v>
      </c>
      <c r="N516" s="159">
        <f>L516*M516</f>
        <v>4.901257391471209</v>
      </c>
      <c r="O516" s="159">
        <f>L516*60*1000</f>
        <v>1061.7591922889574</v>
      </c>
      <c r="P516" s="161">
        <f>O516*M516/1000</f>
        <v>294.0754434882725</v>
      </c>
      <c r="Q516" s="11"/>
      <c r="R516" s="10"/>
      <c r="S516" s="10"/>
    </row>
    <row r="517" spans="1:19" s="9" customFormat="1" ht="12.75" customHeight="1">
      <c r="A517" s="273"/>
      <c r="B517" s="173" t="s">
        <v>630</v>
      </c>
      <c r="C517" s="174">
        <v>26</v>
      </c>
      <c r="D517" s="127">
        <v>1960</v>
      </c>
      <c r="E517" s="128">
        <f>+F517+G517+H517</f>
        <v>25.21365</v>
      </c>
      <c r="F517" s="175">
        <v>2.243824</v>
      </c>
      <c r="G517" s="175">
        <v>4</v>
      </c>
      <c r="H517" s="175">
        <v>18.969826</v>
      </c>
      <c r="I517" s="176">
        <v>1403.08</v>
      </c>
      <c r="J517" s="175">
        <v>18.969826</v>
      </c>
      <c r="K517" s="176">
        <v>1070.98</v>
      </c>
      <c r="L517" s="130">
        <f>+J517/K517</f>
        <v>0.017712586602924425</v>
      </c>
      <c r="M517" s="131">
        <v>338.118</v>
      </c>
      <c r="N517" s="131">
        <f>+L517*M517</f>
        <v>5.9889443570076</v>
      </c>
      <c r="O517" s="131">
        <f>+L517*60*1000</f>
        <v>1062.7551961754655</v>
      </c>
      <c r="P517" s="132">
        <f>+N517*60</f>
        <v>359.33666142045604</v>
      </c>
      <c r="Q517" s="11"/>
      <c r="R517" s="10"/>
      <c r="S517" s="10"/>
    </row>
    <row r="518" spans="1:19" s="9" customFormat="1" ht="12.75" customHeight="1">
      <c r="A518" s="273"/>
      <c r="B518" s="152" t="s">
        <v>905</v>
      </c>
      <c r="C518" s="97">
        <v>25</v>
      </c>
      <c r="D518" s="97" t="s">
        <v>892</v>
      </c>
      <c r="E518" s="153">
        <v>31.417</v>
      </c>
      <c r="F518" s="153">
        <v>3.499</v>
      </c>
      <c r="G518" s="153">
        <v>4</v>
      </c>
      <c r="H518" s="153">
        <v>23.918</v>
      </c>
      <c r="I518" s="261"/>
      <c r="J518" s="153">
        <v>23.918</v>
      </c>
      <c r="K518" s="155">
        <v>1350.24</v>
      </c>
      <c r="L518" s="157">
        <f>J518/K518</f>
        <v>0.017713887901410118</v>
      </c>
      <c r="M518" s="183">
        <v>276.97</v>
      </c>
      <c r="N518" s="159">
        <f>L518*M518</f>
        <v>4.906215532053561</v>
      </c>
      <c r="O518" s="159">
        <f>L518*60*1000</f>
        <v>1062.8332740846072</v>
      </c>
      <c r="P518" s="161">
        <f>O518*M518/1000</f>
        <v>294.3729319232137</v>
      </c>
      <c r="R518" s="10"/>
      <c r="S518" s="10"/>
    </row>
    <row r="519" spans="1:19" s="9" customFormat="1" ht="12.75" customHeight="1">
      <c r="A519" s="273"/>
      <c r="B519" s="126" t="s">
        <v>59</v>
      </c>
      <c r="C519" s="127">
        <v>57</v>
      </c>
      <c r="D519" s="127">
        <v>1982</v>
      </c>
      <c r="E519" s="128">
        <v>78.33</v>
      </c>
      <c r="F519" s="128">
        <v>7.89</v>
      </c>
      <c r="G519" s="128">
        <v>8.64</v>
      </c>
      <c r="H519" s="128">
        <f>E519-F519-G519</f>
        <v>61.8</v>
      </c>
      <c r="I519" s="129">
        <v>3486.1</v>
      </c>
      <c r="J519" s="128">
        <f>H519/I519*K519</f>
        <v>61.7982272453458</v>
      </c>
      <c r="K519" s="127">
        <v>3486</v>
      </c>
      <c r="L519" s="130">
        <f>J519/K519</f>
        <v>0.01772754654198101</v>
      </c>
      <c r="M519" s="140">
        <f>294.4*1.09</f>
        <v>320.896</v>
      </c>
      <c r="N519" s="131">
        <f>L519*M519</f>
        <v>5.6886987751355385</v>
      </c>
      <c r="O519" s="131">
        <f>L519*60*1000</f>
        <v>1063.6527925188607</v>
      </c>
      <c r="P519" s="132">
        <f>O519*M519/1000</f>
        <v>341.3219265081323</v>
      </c>
      <c r="Q519" s="11"/>
      <c r="R519" s="10"/>
      <c r="S519" s="10"/>
    </row>
    <row r="520" spans="1:19" s="9" customFormat="1" ht="12.75" customHeight="1">
      <c r="A520" s="273"/>
      <c r="B520" s="152" t="s">
        <v>811</v>
      </c>
      <c r="C520" s="97">
        <v>22</v>
      </c>
      <c r="D520" s="97" t="s">
        <v>24</v>
      </c>
      <c r="E520" s="153">
        <f>F520+G520+H520</f>
        <v>27.726</v>
      </c>
      <c r="F520" s="153">
        <v>2.62</v>
      </c>
      <c r="G520" s="153">
        <v>3.52</v>
      </c>
      <c r="H520" s="153">
        <v>21.586</v>
      </c>
      <c r="I520" s="155">
        <v>1217.03</v>
      </c>
      <c r="J520" s="153">
        <v>21.586</v>
      </c>
      <c r="K520" s="155">
        <v>1217.03</v>
      </c>
      <c r="L520" s="157">
        <f>J520/K520</f>
        <v>0.017736621118624847</v>
      </c>
      <c r="M520" s="183">
        <v>351.85</v>
      </c>
      <c r="N520" s="159">
        <f>L520*M520</f>
        <v>6.240630140588153</v>
      </c>
      <c r="O520" s="159">
        <f>L520*60*1000</f>
        <v>1064.1972671174908</v>
      </c>
      <c r="P520" s="161">
        <f>O520*M520/1000</f>
        <v>374.4378084352892</v>
      </c>
      <c r="Q520" s="11"/>
      <c r="R520" s="10"/>
      <c r="S520" s="10"/>
    </row>
    <row r="521" spans="1:19" s="9" customFormat="1" ht="12.75" customHeight="1">
      <c r="A521" s="273"/>
      <c r="B521" s="126" t="s">
        <v>329</v>
      </c>
      <c r="C521" s="127">
        <v>26</v>
      </c>
      <c r="D521" s="127">
        <v>1978</v>
      </c>
      <c r="E521" s="128">
        <f>SUM(F521:H521)</f>
        <v>30.502001</v>
      </c>
      <c r="F521" s="128">
        <v>3.0609</v>
      </c>
      <c r="G521" s="128">
        <v>3.785</v>
      </c>
      <c r="H521" s="128">
        <v>23.656101</v>
      </c>
      <c r="I521" s="129">
        <v>1331.23</v>
      </c>
      <c r="J521" s="128">
        <v>23.656101</v>
      </c>
      <c r="K521" s="129">
        <v>1331.23</v>
      </c>
      <c r="L521" s="130">
        <f>J521/K521</f>
        <v>0.017770108095520685</v>
      </c>
      <c r="M521" s="131">
        <v>285.3</v>
      </c>
      <c r="N521" s="131">
        <f>L521*M521*1.09</f>
        <v>5.526094905220736</v>
      </c>
      <c r="O521" s="131">
        <f>L521*60*1000</f>
        <v>1066.206485731241</v>
      </c>
      <c r="P521" s="132">
        <v>331.5656943132442</v>
      </c>
      <c r="Q521" s="11"/>
      <c r="R521" s="10"/>
      <c r="S521" s="10"/>
    </row>
    <row r="522" spans="1:19" s="9" customFormat="1" ht="12.75" customHeight="1">
      <c r="A522" s="273"/>
      <c r="B522" s="152" t="s">
        <v>534</v>
      </c>
      <c r="C522" s="97">
        <v>16</v>
      </c>
      <c r="D522" s="97">
        <v>1912</v>
      </c>
      <c r="E522" s="153">
        <v>14.7</v>
      </c>
      <c r="F522" s="153">
        <v>1</v>
      </c>
      <c r="G522" s="153">
        <v>2.2</v>
      </c>
      <c r="H522" s="153">
        <v>11.5</v>
      </c>
      <c r="I522" s="155">
        <v>647</v>
      </c>
      <c r="J522" s="153">
        <v>11.5</v>
      </c>
      <c r="K522" s="155">
        <v>647</v>
      </c>
      <c r="L522" s="157">
        <f>J522/K522</f>
        <v>0.01777434312210201</v>
      </c>
      <c r="M522" s="183">
        <v>250.6</v>
      </c>
      <c r="N522" s="159">
        <f>L522*M522</f>
        <v>4.454250386398764</v>
      </c>
      <c r="O522" s="159">
        <f>L522*60*1000</f>
        <v>1066.4605873261205</v>
      </c>
      <c r="P522" s="161">
        <f>O522*M522/1000</f>
        <v>267.2550231839258</v>
      </c>
      <c r="R522" s="10"/>
      <c r="S522" s="10"/>
    </row>
    <row r="523" spans="1:19" s="9" customFormat="1" ht="12.75" customHeight="1">
      <c r="A523" s="273"/>
      <c r="B523" s="173" t="s">
        <v>631</v>
      </c>
      <c r="C523" s="174">
        <v>6</v>
      </c>
      <c r="D523" s="127">
        <v>1960</v>
      </c>
      <c r="E523" s="128">
        <f>+F523+G523+H523</f>
        <v>6.11209</v>
      </c>
      <c r="F523" s="175">
        <v>0.5368</v>
      </c>
      <c r="G523" s="175">
        <v>0.96</v>
      </c>
      <c r="H523" s="175">
        <v>4.61529</v>
      </c>
      <c r="I523" s="176">
        <v>531.26</v>
      </c>
      <c r="J523" s="175">
        <v>4.61529</v>
      </c>
      <c r="K523" s="176">
        <v>259.21</v>
      </c>
      <c r="L523" s="130">
        <f>+J523/K523</f>
        <v>0.017805215848154008</v>
      </c>
      <c r="M523" s="131">
        <v>338.118</v>
      </c>
      <c r="N523" s="131">
        <f>+L523*M523</f>
        <v>6.020263972146137</v>
      </c>
      <c r="O523" s="131">
        <f>+L523*60*1000</f>
        <v>1068.3129508892405</v>
      </c>
      <c r="P523" s="132">
        <f>+N523*60</f>
        <v>361.2158383287682</v>
      </c>
      <c r="Q523" s="11"/>
      <c r="R523" s="10"/>
      <c r="S523" s="10"/>
    </row>
    <row r="524" spans="1:19" s="9" customFormat="1" ht="12.75" customHeight="1">
      <c r="A524" s="273"/>
      <c r="B524" s="241" t="s">
        <v>915</v>
      </c>
      <c r="C524" s="97">
        <v>45</v>
      </c>
      <c r="D524" s="97">
        <v>1987</v>
      </c>
      <c r="E524" s="242">
        <f>F524+G524+H524</f>
        <v>35.769999999999996</v>
      </c>
      <c r="F524" s="242">
        <v>1.68</v>
      </c>
      <c r="G524" s="242">
        <v>0.44</v>
      </c>
      <c r="H524" s="242">
        <v>33.65</v>
      </c>
      <c r="I524" s="243">
        <v>2007.6</v>
      </c>
      <c r="J524" s="242">
        <f>E524</f>
        <v>35.769999999999996</v>
      </c>
      <c r="K524" s="243">
        <v>2007.58</v>
      </c>
      <c r="L524" s="244">
        <f>J524/K524</f>
        <v>0.017817471781946422</v>
      </c>
      <c r="M524" s="245">
        <v>244.38</v>
      </c>
      <c r="N524" s="246">
        <f>L524*M524</f>
        <v>4.354233754072067</v>
      </c>
      <c r="O524" s="246">
        <f>L524*60*1000</f>
        <v>1069.0483069167854</v>
      </c>
      <c r="P524" s="247">
        <f>O524*M524/1000</f>
        <v>261.254025244324</v>
      </c>
      <c r="R524" s="10"/>
      <c r="S524" s="10"/>
    </row>
    <row r="525" spans="1:19" s="9" customFormat="1" ht="12.75" customHeight="1">
      <c r="A525" s="273"/>
      <c r="B525" s="126" t="s">
        <v>390</v>
      </c>
      <c r="C525" s="127">
        <v>40</v>
      </c>
      <c r="D525" s="127">
        <v>1975</v>
      </c>
      <c r="E525" s="128">
        <f>SUM(F525+G525+H525)</f>
        <v>48.699999999999996</v>
      </c>
      <c r="F525" s="128">
        <v>2</v>
      </c>
      <c r="G525" s="128">
        <v>6.4</v>
      </c>
      <c r="H525" s="128">
        <v>40.3</v>
      </c>
      <c r="I525" s="129">
        <v>2260.93</v>
      </c>
      <c r="J525" s="128">
        <v>40.3</v>
      </c>
      <c r="K525" s="129">
        <v>2260.9</v>
      </c>
      <c r="L525" s="130">
        <f>SUM(J525/K525)</f>
        <v>0.017824760051307</v>
      </c>
      <c r="M525" s="131">
        <v>215.8</v>
      </c>
      <c r="N525" s="131">
        <f>SUM(L525*M525)</f>
        <v>3.8465832190720506</v>
      </c>
      <c r="O525" s="131">
        <f>L525*60*1000</f>
        <v>1069.48560307842</v>
      </c>
      <c r="P525" s="132">
        <f>SUM(N525*60)</f>
        <v>230.79499314432303</v>
      </c>
      <c r="R525" s="10"/>
      <c r="S525" s="10"/>
    </row>
    <row r="526" spans="1:19" s="9" customFormat="1" ht="12.75" customHeight="1">
      <c r="A526" s="273"/>
      <c r="B526" s="152" t="s">
        <v>285</v>
      </c>
      <c r="C526" s="97">
        <v>24</v>
      </c>
      <c r="D526" s="97">
        <v>1960</v>
      </c>
      <c r="E526" s="153">
        <v>26.26</v>
      </c>
      <c r="F526" s="153">
        <v>2.601</v>
      </c>
      <c r="G526" s="153">
        <v>3.84</v>
      </c>
      <c r="H526" s="153">
        <v>19.819</v>
      </c>
      <c r="I526" s="155">
        <v>1110.04</v>
      </c>
      <c r="J526" s="153">
        <v>18.98</v>
      </c>
      <c r="K526" s="155">
        <v>1063.22</v>
      </c>
      <c r="L526" s="157">
        <f>J526/K526</f>
        <v>0.017851432441075225</v>
      </c>
      <c r="M526" s="183">
        <v>338.118</v>
      </c>
      <c r="N526" s="159">
        <f>L526*M526</f>
        <v>6.035890634111473</v>
      </c>
      <c r="O526" s="159">
        <f>L526*60*1000</f>
        <v>1071.0859464645134</v>
      </c>
      <c r="P526" s="161">
        <f>O526*M526/1000</f>
        <v>362.15343804668834</v>
      </c>
      <c r="R526" s="10"/>
      <c r="S526" s="10"/>
    </row>
    <row r="527" spans="1:19" s="9" customFormat="1" ht="12.75" customHeight="1">
      <c r="A527" s="273"/>
      <c r="B527" s="301" t="s">
        <v>1022</v>
      </c>
      <c r="C527" s="308">
        <v>31</v>
      </c>
      <c r="D527" s="303" t="s">
        <v>24</v>
      </c>
      <c r="E527" s="304">
        <v>24.37</v>
      </c>
      <c r="F527" s="304">
        <v>2.59</v>
      </c>
      <c r="G527" s="305">
        <v>0.31</v>
      </c>
      <c r="H527" s="304">
        <v>21.47</v>
      </c>
      <c r="I527" s="308">
        <v>1196.73</v>
      </c>
      <c r="J527" s="304">
        <v>21.47</v>
      </c>
      <c r="K527" s="307">
        <v>1196.73</v>
      </c>
      <c r="L527" s="157">
        <f>J527/K527</f>
        <v>0.017940554678164664</v>
      </c>
      <c r="M527" s="183">
        <v>269.2</v>
      </c>
      <c r="N527" s="159">
        <f>L527*M527</f>
        <v>4.829597319361928</v>
      </c>
      <c r="O527" s="159">
        <f>L527*60*1000</f>
        <v>1076.4332806898797</v>
      </c>
      <c r="P527" s="161">
        <f>O527*M527/1000</f>
        <v>289.77583916171557</v>
      </c>
      <c r="R527" s="10"/>
      <c r="S527" s="10"/>
    </row>
    <row r="528" spans="1:19" s="9" customFormat="1" ht="12.75" customHeight="1">
      <c r="A528" s="273"/>
      <c r="B528" s="309" t="s">
        <v>1023</v>
      </c>
      <c r="C528" s="310">
        <v>31</v>
      </c>
      <c r="D528" s="311" t="s">
        <v>24</v>
      </c>
      <c r="E528" s="304">
        <v>42.25</v>
      </c>
      <c r="F528" s="304">
        <v>3.55</v>
      </c>
      <c r="G528" s="305">
        <v>5.28</v>
      </c>
      <c r="H528" s="304">
        <v>33.42</v>
      </c>
      <c r="I528" s="306">
        <v>1844.65</v>
      </c>
      <c r="J528" s="304">
        <v>29.76</v>
      </c>
      <c r="K528" s="307">
        <v>1653.89</v>
      </c>
      <c r="L528" s="157">
        <f>J528/K528</f>
        <v>0.017993941555968052</v>
      </c>
      <c r="M528" s="183">
        <v>269.2</v>
      </c>
      <c r="N528" s="159">
        <f>L528*M528</f>
        <v>4.8439690668666</v>
      </c>
      <c r="O528" s="159">
        <f>L528*60*1000</f>
        <v>1079.636493358083</v>
      </c>
      <c r="P528" s="161">
        <f>O528*M528/1000</f>
        <v>290.6381440119959</v>
      </c>
      <c r="R528" s="10"/>
      <c r="S528" s="10"/>
    </row>
    <row r="529" spans="1:19" s="9" customFormat="1" ht="12.75" customHeight="1">
      <c r="A529" s="273"/>
      <c r="B529" s="126" t="s">
        <v>505</v>
      </c>
      <c r="C529" s="127">
        <v>41</v>
      </c>
      <c r="D529" s="127" t="s">
        <v>24</v>
      </c>
      <c r="E529" s="128">
        <f>SUM(F529:H529)</f>
        <v>38.41</v>
      </c>
      <c r="F529" s="128">
        <v>3.06</v>
      </c>
      <c r="G529" s="128">
        <v>0.45</v>
      </c>
      <c r="H529" s="128">
        <v>34.9</v>
      </c>
      <c r="I529" s="129">
        <v>1881.35</v>
      </c>
      <c r="J529" s="128">
        <v>32.36</v>
      </c>
      <c r="K529" s="129">
        <v>1790.34</v>
      </c>
      <c r="L529" s="157">
        <f>J529/K529</f>
        <v>0.018074779092239462</v>
      </c>
      <c r="M529" s="183">
        <v>206.1</v>
      </c>
      <c r="N529" s="159">
        <f>L529*M529</f>
        <v>3.725211970910553</v>
      </c>
      <c r="O529" s="159">
        <f>L529*60*1000</f>
        <v>1084.4867455343676</v>
      </c>
      <c r="P529" s="161">
        <f>O529*M529/1000</f>
        <v>223.51271825463317</v>
      </c>
      <c r="Q529" s="11"/>
      <c r="R529" s="10"/>
      <c r="S529" s="10"/>
    </row>
    <row r="530" spans="1:19" s="9" customFormat="1" ht="12.75" customHeight="1">
      <c r="A530" s="273"/>
      <c r="B530" s="126" t="s">
        <v>61</v>
      </c>
      <c r="C530" s="127">
        <v>47</v>
      </c>
      <c r="D530" s="127">
        <v>1979</v>
      </c>
      <c r="E530" s="128">
        <v>67.61</v>
      </c>
      <c r="F530" s="128">
        <v>6.19</v>
      </c>
      <c r="G530" s="128">
        <v>7.6</v>
      </c>
      <c r="H530" s="128">
        <f>E530-F530-G530</f>
        <v>53.82</v>
      </c>
      <c r="I530" s="129">
        <v>2974.6</v>
      </c>
      <c r="J530" s="128">
        <f>H530/I530*K530</f>
        <v>52.79592550258859</v>
      </c>
      <c r="K530" s="127">
        <v>2918</v>
      </c>
      <c r="L530" s="130">
        <f>J530/K530</f>
        <v>0.01809318900020171</v>
      </c>
      <c r="M530" s="140">
        <f>294.4*1.09</f>
        <v>320.896</v>
      </c>
      <c r="N530" s="131">
        <f>L530*M530</f>
        <v>5.806031977408728</v>
      </c>
      <c r="O530" s="131">
        <f>L530*60*1000</f>
        <v>1085.5913400121024</v>
      </c>
      <c r="P530" s="132">
        <f>O530*M530/1000</f>
        <v>348.3619186445236</v>
      </c>
      <c r="R530" s="10"/>
      <c r="S530" s="10"/>
    </row>
    <row r="531" spans="1:16" s="9" customFormat="1" ht="12.75" customHeight="1">
      <c r="A531" s="273"/>
      <c r="B531" s="108" t="s">
        <v>612</v>
      </c>
      <c r="C531" s="97">
        <v>45</v>
      </c>
      <c r="D531" s="97">
        <v>1984</v>
      </c>
      <c r="E531" s="153">
        <v>53.778</v>
      </c>
      <c r="F531" s="153">
        <v>4.238</v>
      </c>
      <c r="G531" s="153">
        <v>7.2</v>
      </c>
      <c r="H531" s="153">
        <v>42.34</v>
      </c>
      <c r="I531" s="183">
        <v>2338.7</v>
      </c>
      <c r="J531" s="153">
        <v>42.34</v>
      </c>
      <c r="K531" s="183">
        <v>2338.7</v>
      </c>
      <c r="L531" s="157">
        <f>J531/K531</f>
        <v>0.018104074913413436</v>
      </c>
      <c r="M531" s="183">
        <v>302.3</v>
      </c>
      <c r="N531" s="159">
        <f>L531*M531</f>
        <v>5.472861846324882</v>
      </c>
      <c r="O531" s="159">
        <f>L531*60*1000</f>
        <v>1086.2444948048062</v>
      </c>
      <c r="P531" s="161">
        <f>O531*M531/1000</f>
        <v>328.3717107794929</v>
      </c>
    </row>
    <row r="532" spans="1:19" s="9" customFormat="1" ht="12.75" customHeight="1">
      <c r="A532" s="273"/>
      <c r="B532" s="152" t="s">
        <v>579</v>
      </c>
      <c r="C532" s="97">
        <v>59</v>
      </c>
      <c r="D532" s="97">
        <v>1987</v>
      </c>
      <c r="E532" s="153">
        <v>56.1298</v>
      </c>
      <c r="F532" s="153">
        <v>7.83663</v>
      </c>
      <c r="G532" s="153">
        <v>5.9</v>
      </c>
      <c r="H532" s="153">
        <f>E532-F532-G532</f>
        <v>42.393170000000005</v>
      </c>
      <c r="I532" s="155">
        <v>2335.48</v>
      </c>
      <c r="J532" s="153">
        <f>H532</f>
        <v>42.393170000000005</v>
      </c>
      <c r="K532" s="155">
        <f>I532</f>
        <v>2335.48</v>
      </c>
      <c r="L532" s="157">
        <f>J532/K532</f>
        <v>0.018151801770942163</v>
      </c>
      <c r="M532" s="183">
        <v>279.5</v>
      </c>
      <c r="N532" s="159">
        <f>L532*M532</f>
        <v>5.073428594978335</v>
      </c>
      <c r="O532" s="159">
        <f>L532*60*1000</f>
        <v>1089.1081062565297</v>
      </c>
      <c r="P532" s="161">
        <f>O532*M532/1000</f>
        <v>304.4057156987</v>
      </c>
      <c r="R532" s="10"/>
      <c r="S532" s="10"/>
    </row>
    <row r="533" spans="1:19" s="9" customFormat="1" ht="12.75" customHeight="1">
      <c r="A533" s="273"/>
      <c r="B533" s="152" t="s">
        <v>744</v>
      </c>
      <c r="C533" s="97">
        <v>20</v>
      </c>
      <c r="D533" s="97">
        <v>1990</v>
      </c>
      <c r="E533" s="153">
        <v>24.49</v>
      </c>
      <c r="F533" s="153">
        <v>1.89</v>
      </c>
      <c r="G533" s="153">
        <v>3.2</v>
      </c>
      <c r="H533" s="153">
        <v>19.4</v>
      </c>
      <c r="I533" s="231"/>
      <c r="J533" s="153">
        <f>H533</f>
        <v>19.4</v>
      </c>
      <c r="K533" s="155">
        <v>1068</v>
      </c>
      <c r="L533" s="157">
        <f>J533/K533</f>
        <v>0.018164794007490635</v>
      </c>
      <c r="M533" s="183">
        <v>187.69</v>
      </c>
      <c r="N533" s="159">
        <f>L533*M533</f>
        <v>3.4093501872659173</v>
      </c>
      <c r="O533" s="159">
        <f>L533*60*1000</f>
        <v>1089.8876404494379</v>
      </c>
      <c r="P533" s="161">
        <f>O533*M533/1000</f>
        <v>204.561011235955</v>
      </c>
      <c r="R533" s="10"/>
      <c r="S533" s="10"/>
    </row>
    <row r="534" spans="1:19" s="9" customFormat="1" ht="12.75" customHeight="1">
      <c r="A534" s="273"/>
      <c r="B534" s="318" t="s">
        <v>1024</v>
      </c>
      <c r="C534" s="310">
        <v>47</v>
      </c>
      <c r="D534" s="311" t="s">
        <v>24</v>
      </c>
      <c r="E534" s="304">
        <v>45.89</v>
      </c>
      <c r="F534" s="304">
        <v>2.74</v>
      </c>
      <c r="G534" s="305">
        <v>7.6</v>
      </c>
      <c r="H534" s="304">
        <v>35.55</v>
      </c>
      <c r="I534" s="306">
        <v>1955.05</v>
      </c>
      <c r="J534" s="304">
        <v>35.03</v>
      </c>
      <c r="K534" s="307">
        <v>1926.39</v>
      </c>
      <c r="L534" s="157">
        <f>J534/K534</f>
        <v>0.01818427213596416</v>
      </c>
      <c r="M534" s="183">
        <v>269.2</v>
      </c>
      <c r="N534" s="159">
        <f>L534*M534</f>
        <v>4.895206059001552</v>
      </c>
      <c r="O534" s="159">
        <f>L534*60*1000</f>
        <v>1091.0563281578495</v>
      </c>
      <c r="P534" s="161">
        <f>O534*M534/1000</f>
        <v>293.71236354009307</v>
      </c>
      <c r="R534" s="10"/>
      <c r="S534" s="10"/>
    </row>
    <row r="535" spans="1:19" s="9" customFormat="1" ht="12.75" customHeight="1">
      <c r="A535" s="273"/>
      <c r="B535" s="173" t="s">
        <v>633</v>
      </c>
      <c r="C535" s="174">
        <v>21</v>
      </c>
      <c r="D535" s="127">
        <v>1986</v>
      </c>
      <c r="E535" s="128">
        <f>+F535+G535+H535</f>
        <v>24.773</v>
      </c>
      <c r="F535" s="175">
        <v>1.7177600000000002</v>
      </c>
      <c r="G535" s="175">
        <v>3.2</v>
      </c>
      <c r="H535" s="175">
        <v>19.85524</v>
      </c>
      <c r="I535" s="176">
        <v>1090.65</v>
      </c>
      <c r="J535" s="175">
        <v>19.85524</v>
      </c>
      <c r="K535" s="176">
        <v>1090.65</v>
      </c>
      <c r="L535" s="130">
        <f>+J535/K535</f>
        <v>0.01820496034474854</v>
      </c>
      <c r="M535" s="131">
        <v>338.118</v>
      </c>
      <c r="N535" s="131">
        <f>+L535*M535</f>
        <v>6.155424781845687</v>
      </c>
      <c r="O535" s="131">
        <f>+L535*60*1000</f>
        <v>1092.2976206849123</v>
      </c>
      <c r="P535" s="132">
        <f>+N535*60</f>
        <v>369.32548691074123</v>
      </c>
      <c r="R535" s="10"/>
      <c r="S535" s="10"/>
    </row>
    <row r="536" spans="1:19" s="9" customFormat="1" ht="12.75" customHeight="1">
      <c r="A536" s="273"/>
      <c r="B536" s="177" t="s">
        <v>632</v>
      </c>
      <c r="C536" s="178">
        <v>6</v>
      </c>
      <c r="D536" s="127">
        <v>1900</v>
      </c>
      <c r="E536" s="128">
        <f>+F536+G536+H536</f>
        <v>4.7249</v>
      </c>
      <c r="F536" s="179">
        <v>0</v>
      </c>
      <c r="G536" s="179">
        <v>0</v>
      </c>
      <c r="H536" s="179">
        <v>4.7249</v>
      </c>
      <c r="I536" s="180">
        <v>259.28000000000003</v>
      </c>
      <c r="J536" s="179">
        <v>4.7249</v>
      </c>
      <c r="K536" s="180">
        <v>259.28000000000003</v>
      </c>
      <c r="L536" s="130">
        <f>+J536/K536</f>
        <v>0.018223156433199626</v>
      </c>
      <c r="M536" s="131">
        <v>333.312</v>
      </c>
      <c r="N536" s="131">
        <f>+L536*M536</f>
        <v>6.073996717062634</v>
      </c>
      <c r="O536" s="131">
        <f>+L536*60*1000</f>
        <v>1093.3893859919776</v>
      </c>
      <c r="P536" s="132">
        <f>+N536*60</f>
        <v>364.43980302375803</v>
      </c>
      <c r="R536" s="10"/>
      <c r="S536" s="10"/>
    </row>
    <row r="537" spans="1:19" s="9" customFormat="1" ht="12.75" customHeight="1">
      <c r="A537" s="273"/>
      <c r="B537" s="152" t="s">
        <v>537</v>
      </c>
      <c r="C537" s="97">
        <v>48</v>
      </c>
      <c r="D537" s="97">
        <v>1965</v>
      </c>
      <c r="E537" s="153">
        <v>46.6</v>
      </c>
      <c r="F537" s="153">
        <v>4.4</v>
      </c>
      <c r="G537" s="153">
        <v>7.5</v>
      </c>
      <c r="H537" s="153">
        <v>34.7</v>
      </c>
      <c r="I537" s="155">
        <v>1901</v>
      </c>
      <c r="J537" s="153">
        <v>34.7</v>
      </c>
      <c r="K537" s="155">
        <v>1901</v>
      </c>
      <c r="L537" s="157">
        <f>J537/K537</f>
        <v>0.018253550762756445</v>
      </c>
      <c r="M537" s="183">
        <v>250.6</v>
      </c>
      <c r="N537" s="159">
        <f>L537*M537</f>
        <v>4.574339821146765</v>
      </c>
      <c r="O537" s="159">
        <f>L537*60*1000</f>
        <v>1095.2130457653868</v>
      </c>
      <c r="P537" s="161">
        <f>O537*M537/1000</f>
        <v>274.4603892688059</v>
      </c>
      <c r="R537" s="10"/>
      <c r="S537" s="10"/>
    </row>
    <row r="538" spans="1:19" s="9" customFormat="1" ht="12.75" customHeight="1">
      <c r="A538" s="273"/>
      <c r="B538" s="126" t="s">
        <v>335</v>
      </c>
      <c r="C538" s="127">
        <v>22</v>
      </c>
      <c r="D538" s="127">
        <v>1974</v>
      </c>
      <c r="E538" s="128">
        <f>SUM(F538:H538)</f>
        <v>23.655999</v>
      </c>
      <c r="F538" s="128">
        <v>0.8592</v>
      </c>
      <c r="G538" s="128">
        <v>3.1984</v>
      </c>
      <c r="H538" s="128">
        <v>19.598399</v>
      </c>
      <c r="I538" s="129">
        <v>1064.69</v>
      </c>
      <c r="J538" s="128">
        <v>19.598399</v>
      </c>
      <c r="K538" s="129">
        <v>1064.69</v>
      </c>
      <c r="L538" s="130">
        <f>J538/K538</f>
        <v>0.01840761066601546</v>
      </c>
      <c r="M538" s="131">
        <v>285.3</v>
      </c>
      <c r="N538" s="131">
        <f>L538*M538*1.09</f>
        <v>5.7243435420854905</v>
      </c>
      <c r="O538" s="131">
        <f>L538*60*1000</f>
        <v>1104.4566399609275</v>
      </c>
      <c r="P538" s="132">
        <v>343.4606125251294</v>
      </c>
      <c r="R538" s="10"/>
      <c r="S538" s="10"/>
    </row>
    <row r="539" spans="1:19" s="9" customFormat="1" ht="12.75" customHeight="1">
      <c r="A539" s="273"/>
      <c r="B539" s="173" t="s">
        <v>196</v>
      </c>
      <c r="C539" s="174">
        <v>9</v>
      </c>
      <c r="D539" s="127">
        <v>1977</v>
      </c>
      <c r="E539" s="128">
        <f>+F539+G539+H539</f>
        <v>9.464118000000001</v>
      </c>
      <c r="F539" s="175">
        <v>0.488488</v>
      </c>
      <c r="G539" s="175">
        <v>1.44</v>
      </c>
      <c r="H539" s="175">
        <v>7.53563</v>
      </c>
      <c r="I539" s="176">
        <v>670.11</v>
      </c>
      <c r="J539" s="175">
        <v>7.53563</v>
      </c>
      <c r="K539" s="176">
        <v>408.73</v>
      </c>
      <c r="L539" s="130">
        <f>+J539/K539</f>
        <v>0.018436694150172486</v>
      </c>
      <c r="M539" s="131">
        <v>338.118</v>
      </c>
      <c r="N539" s="131">
        <f>+L539*M539</f>
        <v>6.2337781526680205</v>
      </c>
      <c r="O539" s="131">
        <f>+L539*60*1000</f>
        <v>1106.2016490103492</v>
      </c>
      <c r="P539" s="132">
        <f>+N539*60</f>
        <v>374.0266891600812</v>
      </c>
      <c r="R539" s="10"/>
      <c r="S539" s="10"/>
    </row>
    <row r="540" spans="1:19" s="9" customFormat="1" ht="12.75" customHeight="1">
      <c r="A540" s="273"/>
      <c r="B540" s="152" t="s">
        <v>657</v>
      </c>
      <c r="C540" s="97">
        <v>24</v>
      </c>
      <c r="D540" s="97">
        <v>1969</v>
      </c>
      <c r="E540" s="153">
        <v>23.220001</v>
      </c>
      <c r="F540" s="153">
        <v>1.755063</v>
      </c>
      <c r="G540" s="153">
        <v>3.68</v>
      </c>
      <c r="H540" s="153">
        <v>17.784938</v>
      </c>
      <c r="I540" s="155">
        <v>1137.96</v>
      </c>
      <c r="J540" s="153">
        <v>17.784938</v>
      </c>
      <c r="K540" s="155">
        <v>964.42</v>
      </c>
      <c r="L540" s="157">
        <f>J540/K540</f>
        <v>0.01844107131747579</v>
      </c>
      <c r="M540" s="183">
        <v>254.2</v>
      </c>
      <c r="N540" s="159">
        <f>L540*M540</f>
        <v>4.687720328902345</v>
      </c>
      <c r="O540" s="159">
        <f>L540*60*1000</f>
        <v>1106.4642790485473</v>
      </c>
      <c r="P540" s="161">
        <f>O540*M540/1000</f>
        <v>281.2632197341407</v>
      </c>
      <c r="R540" s="10"/>
      <c r="S540" s="10"/>
    </row>
    <row r="541" spans="1:19" s="9" customFormat="1" ht="12.75" customHeight="1">
      <c r="A541" s="273"/>
      <c r="B541" s="126" t="s">
        <v>336</v>
      </c>
      <c r="C541" s="127">
        <v>12</v>
      </c>
      <c r="D541" s="127">
        <v>1986</v>
      </c>
      <c r="E541" s="128">
        <f>SUM(F541:H541)</f>
        <v>16.960001000000002</v>
      </c>
      <c r="F541" s="128">
        <v>1.9332</v>
      </c>
      <c r="G541" s="128">
        <v>1.945</v>
      </c>
      <c r="H541" s="128">
        <v>13.081801</v>
      </c>
      <c r="I541" s="129">
        <v>706.88</v>
      </c>
      <c r="J541" s="128">
        <v>13.081801</v>
      </c>
      <c r="K541" s="129">
        <v>706.88</v>
      </c>
      <c r="L541" s="130">
        <f>J541/K541</f>
        <v>0.01850639571072884</v>
      </c>
      <c r="M541" s="131">
        <v>285.3</v>
      </c>
      <c r="N541" s="131">
        <f>L541*M541*1.09</f>
        <v>5.755063418935323</v>
      </c>
      <c r="O541" s="131">
        <f>L541*60*1000</f>
        <v>1110.3837426437303</v>
      </c>
      <c r="P541" s="132">
        <v>345.30380513611937</v>
      </c>
      <c r="R541" s="10"/>
      <c r="S541" s="10"/>
    </row>
    <row r="542" spans="1:19" s="9" customFormat="1" ht="12.75" customHeight="1">
      <c r="A542" s="273"/>
      <c r="B542" s="241" t="s">
        <v>916</v>
      </c>
      <c r="C542" s="97">
        <v>40</v>
      </c>
      <c r="D542" s="97">
        <v>1984</v>
      </c>
      <c r="E542" s="242">
        <f>F542+G542+H542</f>
        <v>42.1</v>
      </c>
      <c r="F542" s="242">
        <v>2.99</v>
      </c>
      <c r="G542" s="242">
        <v>6.4</v>
      </c>
      <c r="H542" s="242">
        <v>32.71</v>
      </c>
      <c r="I542" s="243">
        <v>2271.99</v>
      </c>
      <c r="J542" s="242">
        <f>E542</f>
        <v>42.1</v>
      </c>
      <c r="K542" s="243">
        <v>2271.99</v>
      </c>
      <c r="L542" s="244">
        <f>J542/K542</f>
        <v>0.018530011135612395</v>
      </c>
      <c r="M542" s="245">
        <v>244.38</v>
      </c>
      <c r="N542" s="246">
        <f>L542*M542</f>
        <v>4.528364121320957</v>
      </c>
      <c r="O542" s="246">
        <f>L542*60*1000</f>
        <v>1111.8006681367438</v>
      </c>
      <c r="P542" s="247">
        <f>O542*M542/1000</f>
        <v>271.70184727925744</v>
      </c>
      <c r="R542" s="10"/>
      <c r="S542" s="10"/>
    </row>
    <row r="543" spans="1:19" s="9" customFormat="1" ht="12.75" customHeight="1">
      <c r="A543" s="273"/>
      <c r="B543" s="152" t="s">
        <v>541</v>
      </c>
      <c r="C543" s="97">
        <v>11</v>
      </c>
      <c r="D543" s="97">
        <v>1973</v>
      </c>
      <c r="E543" s="153">
        <v>10.7</v>
      </c>
      <c r="F543" s="153">
        <v>0.5</v>
      </c>
      <c r="G543" s="153">
        <v>1.7</v>
      </c>
      <c r="H543" s="153">
        <v>8.5</v>
      </c>
      <c r="I543" s="155">
        <v>458</v>
      </c>
      <c r="J543" s="153">
        <v>8.5</v>
      </c>
      <c r="K543" s="155">
        <v>458</v>
      </c>
      <c r="L543" s="157">
        <f>J543/K543</f>
        <v>0.018558951965065504</v>
      </c>
      <c r="M543" s="183">
        <v>250.6</v>
      </c>
      <c r="N543" s="159">
        <f>L543*M543</f>
        <v>4.650873362445415</v>
      </c>
      <c r="O543" s="159">
        <f>L543*60*1000</f>
        <v>1113.5371179039303</v>
      </c>
      <c r="P543" s="161">
        <f>O543*M543/1000</f>
        <v>279.0524017467249</v>
      </c>
      <c r="Q543" s="11"/>
      <c r="R543" s="10"/>
      <c r="S543" s="10"/>
    </row>
    <row r="544" spans="1:19" s="9" customFormat="1" ht="12.75" customHeight="1">
      <c r="A544" s="273"/>
      <c r="B544" s="126" t="s">
        <v>168</v>
      </c>
      <c r="C544" s="127">
        <v>85</v>
      </c>
      <c r="D544" s="127">
        <v>1970</v>
      </c>
      <c r="E544" s="128">
        <v>89.9</v>
      </c>
      <c r="F544" s="128">
        <v>5.85</v>
      </c>
      <c r="G544" s="128">
        <v>13.6</v>
      </c>
      <c r="H544" s="128">
        <f>E544-F544-G544</f>
        <v>70.45000000000002</v>
      </c>
      <c r="I544" s="129">
        <v>3789.83</v>
      </c>
      <c r="J544" s="128">
        <v>70.45</v>
      </c>
      <c r="K544" s="129">
        <v>3789.83</v>
      </c>
      <c r="L544" s="130">
        <f>J544/K544</f>
        <v>0.018589224318768915</v>
      </c>
      <c r="M544" s="131">
        <v>264.761</v>
      </c>
      <c r="N544" s="131">
        <f>L544*M544</f>
        <v>4.921701619861577</v>
      </c>
      <c r="O544" s="131">
        <f>L544*1000*60</f>
        <v>1115.353459126135</v>
      </c>
      <c r="P544" s="132">
        <f>N544*60</f>
        <v>295.3020971916946</v>
      </c>
      <c r="R544" s="10"/>
      <c r="S544" s="10"/>
    </row>
    <row r="545" spans="1:19" s="9" customFormat="1" ht="12.75" customHeight="1">
      <c r="A545" s="273"/>
      <c r="B545" s="152" t="s">
        <v>544</v>
      </c>
      <c r="C545" s="97">
        <v>10</v>
      </c>
      <c r="D545" s="97">
        <v>1920</v>
      </c>
      <c r="E545" s="153">
        <v>7.5</v>
      </c>
      <c r="F545" s="153"/>
      <c r="G545" s="153"/>
      <c r="H545" s="153">
        <v>7.5</v>
      </c>
      <c r="I545" s="155">
        <v>403</v>
      </c>
      <c r="J545" s="153">
        <v>7.5</v>
      </c>
      <c r="K545" s="155">
        <v>403</v>
      </c>
      <c r="L545" s="157">
        <f>J545/K545</f>
        <v>0.018610421836228287</v>
      </c>
      <c r="M545" s="183">
        <v>250.6</v>
      </c>
      <c r="N545" s="159">
        <f>L545*M545</f>
        <v>4.663771712158809</v>
      </c>
      <c r="O545" s="159">
        <f>L545*60*1000</f>
        <v>1116.6253101736972</v>
      </c>
      <c r="P545" s="161">
        <f>O545*M545/1000</f>
        <v>279.8263027295285</v>
      </c>
      <c r="R545" s="10"/>
      <c r="S545" s="10"/>
    </row>
    <row r="546" spans="1:19" s="9" customFormat="1" ht="12.75" customHeight="1">
      <c r="A546" s="273"/>
      <c r="B546" s="126" t="s">
        <v>388</v>
      </c>
      <c r="C546" s="127">
        <v>10</v>
      </c>
      <c r="D546" s="127">
        <v>1968</v>
      </c>
      <c r="E546" s="128">
        <f>SUM(F546+G546+H546)</f>
        <v>14.9</v>
      </c>
      <c r="F546" s="128">
        <v>0.9</v>
      </c>
      <c r="G546" s="128">
        <v>1.6</v>
      </c>
      <c r="H546" s="128">
        <v>12.4</v>
      </c>
      <c r="I546" s="129">
        <v>662.08</v>
      </c>
      <c r="J546" s="128">
        <v>12.4</v>
      </c>
      <c r="K546" s="129">
        <v>665.81</v>
      </c>
      <c r="L546" s="130">
        <f>SUM(J546/K546)</f>
        <v>0.01862393175230171</v>
      </c>
      <c r="M546" s="131">
        <v>215.8</v>
      </c>
      <c r="N546" s="131">
        <f>SUM(L546*M546)</f>
        <v>4.019044472146709</v>
      </c>
      <c r="O546" s="131">
        <f>L546*60*1000</f>
        <v>1117.4359051381027</v>
      </c>
      <c r="P546" s="132">
        <f>SUM(N546*60)</f>
        <v>241.14266832880256</v>
      </c>
      <c r="R546" s="10"/>
      <c r="S546" s="10"/>
    </row>
    <row r="547" spans="1:19" s="9" customFormat="1" ht="12.75" customHeight="1">
      <c r="A547" s="273"/>
      <c r="B547" s="126" t="s">
        <v>990</v>
      </c>
      <c r="C547" s="127">
        <v>28</v>
      </c>
      <c r="D547" s="127">
        <v>1974</v>
      </c>
      <c r="E547" s="128">
        <v>32.2</v>
      </c>
      <c r="F547" s="128">
        <v>1.79</v>
      </c>
      <c r="G547" s="128">
        <v>4.48</v>
      </c>
      <c r="H547" s="128">
        <v>25.93</v>
      </c>
      <c r="I547" s="129">
        <v>1391</v>
      </c>
      <c r="J547" s="128">
        <v>25.93</v>
      </c>
      <c r="K547" s="129">
        <v>1391</v>
      </c>
      <c r="L547" s="130">
        <f>H547/K547</f>
        <v>0.018641265276779295</v>
      </c>
      <c r="M547" s="131">
        <v>228.46</v>
      </c>
      <c r="N547" s="131">
        <f>L547*M547</f>
        <v>4.258783465132998</v>
      </c>
      <c r="O547" s="131">
        <f>L547*60*1000</f>
        <v>1118.4759166067577</v>
      </c>
      <c r="P547" s="132">
        <f>N547*60</f>
        <v>255.52700790797988</v>
      </c>
      <c r="R547" s="10"/>
      <c r="S547" s="10"/>
    </row>
    <row r="548" spans="1:19" s="9" customFormat="1" ht="12.75" customHeight="1">
      <c r="A548" s="273"/>
      <c r="B548" s="152" t="s">
        <v>656</v>
      </c>
      <c r="C548" s="97">
        <v>23</v>
      </c>
      <c r="D548" s="97">
        <v>1970</v>
      </c>
      <c r="E548" s="153">
        <v>26.234002</v>
      </c>
      <c r="F548" s="153">
        <v>1.173</v>
      </c>
      <c r="G548" s="153">
        <v>3.52</v>
      </c>
      <c r="H548" s="153">
        <v>21.541002</v>
      </c>
      <c r="I548" s="155">
        <v>1095.22</v>
      </c>
      <c r="J548" s="153">
        <v>17.688002</v>
      </c>
      <c r="K548" s="155">
        <v>947.22</v>
      </c>
      <c r="L548" s="157">
        <f>J548/K548</f>
        <v>0.018673594307552627</v>
      </c>
      <c r="M548" s="183">
        <v>254.2</v>
      </c>
      <c r="N548" s="159">
        <f>L548*M548</f>
        <v>4.746827672979878</v>
      </c>
      <c r="O548" s="159">
        <f>L548*60*1000</f>
        <v>1120.4156584531577</v>
      </c>
      <c r="P548" s="161">
        <f>O548*M548/1000</f>
        <v>284.80966037879267</v>
      </c>
      <c r="R548" s="10"/>
      <c r="S548" s="10"/>
    </row>
    <row r="549" spans="1:19" s="9" customFormat="1" ht="12.75" customHeight="1">
      <c r="A549" s="273"/>
      <c r="B549" s="126" t="s">
        <v>506</v>
      </c>
      <c r="C549" s="127">
        <v>44</v>
      </c>
      <c r="D549" s="127" t="s">
        <v>24</v>
      </c>
      <c r="E549" s="128">
        <f>SUM(F549:H549)</f>
        <v>39.37</v>
      </c>
      <c r="F549" s="128">
        <v>2.75</v>
      </c>
      <c r="G549" s="128">
        <v>0.4</v>
      </c>
      <c r="H549" s="128">
        <v>36.22</v>
      </c>
      <c r="I549" s="129">
        <v>1849.35</v>
      </c>
      <c r="J549" s="128">
        <v>32.17</v>
      </c>
      <c r="K549" s="129">
        <v>1721.5</v>
      </c>
      <c r="L549" s="157">
        <f>J549/K549</f>
        <v>0.018687191402846356</v>
      </c>
      <c r="M549" s="183">
        <v>206.1</v>
      </c>
      <c r="N549" s="159">
        <f>L549*M549</f>
        <v>3.8514301481266338</v>
      </c>
      <c r="O549" s="159">
        <f>L549*60*1000</f>
        <v>1121.2314841707814</v>
      </c>
      <c r="P549" s="161">
        <f>O549*M549/1000</f>
        <v>231.08580888759803</v>
      </c>
      <c r="Q549" s="11"/>
      <c r="R549" s="10"/>
      <c r="S549" s="10"/>
    </row>
    <row r="550" spans="1:19" s="9" customFormat="1" ht="12.75" customHeight="1">
      <c r="A550" s="273"/>
      <c r="B550" s="152" t="s">
        <v>455</v>
      </c>
      <c r="C550" s="97">
        <v>109</v>
      </c>
      <c r="D550" s="97" t="s">
        <v>24</v>
      </c>
      <c r="E550" s="153">
        <v>68.28</v>
      </c>
      <c r="F550" s="153">
        <v>4.07</v>
      </c>
      <c r="G550" s="153">
        <v>16.32</v>
      </c>
      <c r="H550" s="153">
        <v>47.89</v>
      </c>
      <c r="I550" s="155">
        <v>2561</v>
      </c>
      <c r="J550" s="153">
        <v>47.89</v>
      </c>
      <c r="K550" s="155">
        <v>2561</v>
      </c>
      <c r="L550" s="157">
        <f>J550/K550</f>
        <v>0.018699726669269816</v>
      </c>
      <c r="M550" s="183">
        <v>234.2</v>
      </c>
      <c r="N550" s="159">
        <f>L550*M550</f>
        <v>4.379475985942991</v>
      </c>
      <c r="O550" s="159">
        <f>L550*60*1000</f>
        <v>1121.983600156189</v>
      </c>
      <c r="P550" s="161">
        <f>O550*M550/1000</f>
        <v>262.76855915657944</v>
      </c>
      <c r="R550" s="10"/>
      <c r="S550" s="10"/>
    </row>
    <row r="551" spans="1:19" s="9" customFormat="1" ht="12.75" customHeight="1">
      <c r="A551" s="273"/>
      <c r="B551" s="126" t="s">
        <v>498</v>
      </c>
      <c r="C551" s="127">
        <v>20</v>
      </c>
      <c r="D551" s="127" t="s">
        <v>24</v>
      </c>
      <c r="E551" s="128">
        <f>SUM(F551:H551)</f>
        <v>24.13</v>
      </c>
      <c r="F551" s="128">
        <v>1.33</v>
      </c>
      <c r="G551" s="128">
        <v>3.26</v>
      </c>
      <c r="H551" s="128">
        <v>19.54</v>
      </c>
      <c r="I551" s="129">
        <v>1042.41</v>
      </c>
      <c r="J551" s="128">
        <v>19.54</v>
      </c>
      <c r="K551" s="129">
        <v>1042.41</v>
      </c>
      <c r="L551" s="157">
        <f>J551/K551</f>
        <v>0.018745023551193864</v>
      </c>
      <c r="M551" s="183">
        <v>206.1</v>
      </c>
      <c r="N551" s="159">
        <f>L551*M551</f>
        <v>3.8633493539010555</v>
      </c>
      <c r="O551" s="159">
        <f>L551*60*1000</f>
        <v>1124.701413071632</v>
      </c>
      <c r="P551" s="161">
        <f>O551*M551/1000</f>
        <v>231.80096123406335</v>
      </c>
      <c r="R551" s="10"/>
      <c r="S551" s="10"/>
    </row>
    <row r="552" spans="1:19" s="9" customFormat="1" ht="12.75" customHeight="1">
      <c r="A552" s="273"/>
      <c r="B552" s="152" t="s">
        <v>866</v>
      </c>
      <c r="C552" s="97">
        <v>22</v>
      </c>
      <c r="D552" s="97">
        <v>1985</v>
      </c>
      <c r="E552" s="153">
        <f>F552+G552+H552</f>
        <v>27.307006</v>
      </c>
      <c r="F552" s="153">
        <v>2.450989</v>
      </c>
      <c r="G552" s="153">
        <v>3.74</v>
      </c>
      <c r="H552" s="153">
        <v>21.116017</v>
      </c>
      <c r="I552" s="155">
        <v>1124.8</v>
      </c>
      <c r="J552" s="153">
        <f>H552</f>
        <v>21.116017</v>
      </c>
      <c r="K552" s="155">
        <f>I552</f>
        <v>1124.8</v>
      </c>
      <c r="L552" s="157">
        <f>J552/K552</f>
        <v>0.01877313033428165</v>
      </c>
      <c r="M552" s="183">
        <v>349.12</v>
      </c>
      <c r="N552" s="159">
        <f>L552*M552</f>
        <v>6.554075262304409</v>
      </c>
      <c r="O552" s="159">
        <f>L552*60*1000</f>
        <v>1126.387820056899</v>
      </c>
      <c r="P552" s="161">
        <f>O552*M552/1000</f>
        <v>393.2445157382646</v>
      </c>
      <c r="R552" s="10"/>
      <c r="S552" s="10"/>
    </row>
    <row r="553" spans="1:19" s="9" customFormat="1" ht="12.75" customHeight="1">
      <c r="A553" s="273"/>
      <c r="B553" s="126" t="s">
        <v>337</v>
      </c>
      <c r="C553" s="127">
        <v>54</v>
      </c>
      <c r="D553" s="127">
        <v>1992</v>
      </c>
      <c r="E553" s="128">
        <f>SUM(F553:H553)</f>
        <v>79.760002</v>
      </c>
      <c r="F553" s="128">
        <v>10.3641</v>
      </c>
      <c r="G553" s="128">
        <v>8.45</v>
      </c>
      <c r="H553" s="128">
        <v>60.945902</v>
      </c>
      <c r="I553" s="129">
        <v>3243.5</v>
      </c>
      <c r="J553" s="128">
        <v>60.945902</v>
      </c>
      <c r="K553" s="129">
        <v>3243.5</v>
      </c>
      <c r="L553" s="130">
        <f>J553/K553</f>
        <v>0.018790165561893016</v>
      </c>
      <c r="M553" s="131">
        <v>285.3</v>
      </c>
      <c r="N553" s="131">
        <f>L553*M553*1.09</f>
        <v>5.843309315940805</v>
      </c>
      <c r="O553" s="131">
        <f>L553*60*1000</f>
        <v>1127.409933713581</v>
      </c>
      <c r="P553" s="132">
        <v>350.5985589564483</v>
      </c>
      <c r="R553" s="10"/>
      <c r="S553" s="10"/>
    </row>
    <row r="554" spans="1:19" s="9" customFormat="1" ht="12.75" customHeight="1">
      <c r="A554" s="273"/>
      <c r="B554" s="126" t="s">
        <v>74</v>
      </c>
      <c r="C554" s="127">
        <v>60</v>
      </c>
      <c r="D554" s="127">
        <v>1985</v>
      </c>
      <c r="E554" s="128">
        <v>77.674</v>
      </c>
      <c r="F554" s="128">
        <v>7.977022</v>
      </c>
      <c r="G554" s="128">
        <v>9.6</v>
      </c>
      <c r="H554" s="128">
        <v>60.096978</v>
      </c>
      <c r="I554" s="129">
        <v>3189.58</v>
      </c>
      <c r="J554" s="128">
        <v>60.096981</v>
      </c>
      <c r="K554" s="129">
        <v>3189.58</v>
      </c>
      <c r="L554" s="130">
        <f>J554/K554</f>
        <v>0.01884165971695333</v>
      </c>
      <c r="M554" s="127">
        <v>298.66</v>
      </c>
      <c r="N554" s="131">
        <f>L554*M554</f>
        <v>5.6272500910652825</v>
      </c>
      <c r="O554" s="131">
        <f>L554*60*1000</f>
        <v>1130.4995830171997</v>
      </c>
      <c r="P554" s="132">
        <f>O554*M554/1000</f>
        <v>337.63500546391685</v>
      </c>
      <c r="R554" s="10"/>
      <c r="S554" s="10"/>
    </row>
    <row r="555" spans="1:19" s="9" customFormat="1" ht="12.75" customHeight="1">
      <c r="A555" s="273"/>
      <c r="B555" s="126" t="s">
        <v>367</v>
      </c>
      <c r="C555" s="127">
        <v>85</v>
      </c>
      <c r="D555" s="127">
        <v>1970</v>
      </c>
      <c r="E555" s="128">
        <v>93.3</v>
      </c>
      <c r="F555" s="128">
        <v>7.35</v>
      </c>
      <c r="G555" s="128">
        <v>13.6</v>
      </c>
      <c r="H555" s="128">
        <f>E555-F555-G555</f>
        <v>72.35000000000001</v>
      </c>
      <c r="I555" s="129">
        <v>3839.76</v>
      </c>
      <c r="J555" s="128">
        <v>72.35</v>
      </c>
      <c r="K555" s="129">
        <v>3839.76</v>
      </c>
      <c r="L555" s="130">
        <f>J555/K555</f>
        <v>0.018842323478550742</v>
      </c>
      <c r="M555" s="131">
        <v>264.761</v>
      </c>
      <c r="N555" s="131">
        <f>L555*M555</f>
        <v>4.988712406504574</v>
      </c>
      <c r="O555" s="131">
        <f>L555*1000*60</f>
        <v>1130.5394087130446</v>
      </c>
      <c r="P555" s="132">
        <f>N555*60</f>
        <v>299.3227443902744</v>
      </c>
      <c r="R555" s="10"/>
      <c r="S555" s="10"/>
    </row>
    <row r="556" spans="1:19" s="9" customFormat="1" ht="12.75" customHeight="1">
      <c r="A556" s="273"/>
      <c r="B556" s="126" t="s">
        <v>64</v>
      </c>
      <c r="C556" s="127">
        <v>83</v>
      </c>
      <c r="D556" s="127">
        <v>1963</v>
      </c>
      <c r="E556" s="128">
        <v>95.41</v>
      </c>
      <c r="F556" s="128">
        <v>9.63</v>
      </c>
      <c r="G556" s="128">
        <v>1.33</v>
      </c>
      <c r="H556" s="128">
        <f>E556-F556-G556</f>
        <v>84.45</v>
      </c>
      <c r="I556" s="129">
        <v>4480.8</v>
      </c>
      <c r="J556" s="128">
        <f>H556/I556*K556</f>
        <v>69.65881092662025</v>
      </c>
      <c r="K556" s="127">
        <v>3696</v>
      </c>
      <c r="L556" s="130">
        <f>J556/K556</f>
        <v>0.01884708087841457</v>
      </c>
      <c r="M556" s="140">
        <f>294.4*1.09</f>
        <v>320.896</v>
      </c>
      <c r="N556" s="131">
        <f>L556*M556</f>
        <v>6.047952865559722</v>
      </c>
      <c r="O556" s="131">
        <f>L556*60*1000</f>
        <v>1130.824852704874</v>
      </c>
      <c r="P556" s="132">
        <f>O556*M556/1000</f>
        <v>362.87717193358327</v>
      </c>
      <c r="Q556" s="11"/>
      <c r="R556" s="10"/>
      <c r="S556" s="10"/>
    </row>
    <row r="557" spans="1:19" s="9" customFormat="1" ht="12.75" customHeight="1">
      <c r="A557" s="273"/>
      <c r="B557" s="173" t="s">
        <v>634</v>
      </c>
      <c r="C557" s="174">
        <v>16</v>
      </c>
      <c r="D557" s="127">
        <v>1988</v>
      </c>
      <c r="E557" s="128">
        <f>+F557+G557+H557</f>
        <v>22.944000000000003</v>
      </c>
      <c r="F557" s="175">
        <v>2.1471</v>
      </c>
      <c r="G557" s="175">
        <v>2.56</v>
      </c>
      <c r="H557" s="175">
        <v>18.236900000000002</v>
      </c>
      <c r="I557" s="176">
        <v>967.12</v>
      </c>
      <c r="J557" s="175">
        <v>18.236900000000002</v>
      </c>
      <c r="K557" s="176">
        <v>967.12</v>
      </c>
      <c r="L557" s="130">
        <f>+J557/K557</f>
        <v>0.018856915377616017</v>
      </c>
      <c r="M557" s="131">
        <v>338.118</v>
      </c>
      <c r="N557" s="131">
        <f>+L557*M557</f>
        <v>6.375862513648772</v>
      </c>
      <c r="O557" s="131">
        <f>+L557*60*1000</f>
        <v>1131.414922656961</v>
      </c>
      <c r="P557" s="132">
        <f>+N557*60</f>
        <v>382.55175081892634</v>
      </c>
      <c r="R557" s="10"/>
      <c r="S557" s="10"/>
    </row>
    <row r="558" spans="1:19" s="9" customFormat="1" ht="12.75" customHeight="1">
      <c r="A558" s="273"/>
      <c r="B558" s="126" t="s">
        <v>40</v>
      </c>
      <c r="C558" s="127">
        <v>40</v>
      </c>
      <c r="D558" s="127">
        <v>1985</v>
      </c>
      <c r="E558" s="128">
        <v>51.579</v>
      </c>
      <c r="F558" s="128">
        <v>4.412948</v>
      </c>
      <c r="G558" s="128">
        <v>6.4</v>
      </c>
      <c r="H558" s="128">
        <v>40.766052</v>
      </c>
      <c r="I558" s="129">
        <v>2161.15</v>
      </c>
      <c r="J558" s="128">
        <v>40.766055</v>
      </c>
      <c r="K558" s="129">
        <v>2161.15</v>
      </c>
      <c r="L558" s="130">
        <f>J558/K558</f>
        <v>0.018863130740577935</v>
      </c>
      <c r="M558" s="127">
        <v>298.66</v>
      </c>
      <c r="N558" s="131">
        <f>L558*M558</f>
        <v>5.633662626981007</v>
      </c>
      <c r="O558" s="131">
        <f>L558*60*1000</f>
        <v>1131.7878444346761</v>
      </c>
      <c r="P558" s="132">
        <f>O558*M558/1000</f>
        <v>338.0197576188604</v>
      </c>
      <c r="R558" s="10"/>
      <c r="S558" s="10"/>
    </row>
    <row r="559" spans="1:19" s="9" customFormat="1" ht="12.75" customHeight="1">
      <c r="A559" s="273"/>
      <c r="B559" s="173" t="s">
        <v>635</v>
      </c>
      <c r="C559" s="174">
        <v>19</v>
      </c>
      <c r="D559" s="127">
        <v>1984</v>
      </c>
      <c r="E559" s="128">
        <f>+F559+G559+H559</f>
        <v>24.089226</v>
      </c>
      <c r="F559" s="175">
        <v>1.5759</v>
      </c>
      <c r="G559" s="175">
        <v>3.04</v>
      </c>
      <c r="H559" s="175">
        <v>19.473326</v>
      </c>
      <c r="I559" s="176">
        <v>1100.8</v>
      </c>
      <c r="J559" s="175">
        <v>19.473326</v>
      </c>
      <c r="K559" s="176">
        <v>1030.98</v>
      </c>
      <c r="L559" s="130">
        <f>+J559/K559</f>
        <v>0.018888170478573784</v>
      </c>
      <c r="M559" s="131">
        <v>338.118</v>
      </c>
      <c r="N559" s="131">
        <f>+L559*M559</f>
        <v>6.38643042587441</v>
      </c>
      <c r="O559" s="131">
        <f>+L559*60*1000</f>
        <v>1133.290228714427</v>
      </c>
      <c r="P559" s="132">
        <f>+N559*60</f>
        <v>383.1858255524646</v>
      </c>
      <c r="R559" s="10"/>
      <c r="S559" s="10"/>
    </row>
    <row r="560" spans="1:19" s="9" customFormat="1" ht="12.75" customHeight="1">
      <c r="A560" s="273"/>
      <c r="B560" s="108" t="s">
        <v>613</v>
      </c>
      <c r="C560" s="97">
        <v>4</v>
      </c>
      <c r="D560" s="97">
        <v>1954</v>
      </c>
      <c r="E560" s="153">
        <v>6.258</v>
      </c>
      <c r="F560" s="153">
        <v>0.51</v>
      </c>
      <c r="G560" s="153">
        <v>0.48</v>
      </c>
      <c r="H560" s="153">
        <v>5.268</v>
      </c>
      <c r="I560" s="183">
        <v>278.31</v>
      </c>
      <c r="J560" s="153">
        <v>5.268</v>
      </c>
      <c r="K560" s="183">
        <v>278.31</v>
      </c>
      <c r="L560" s="157">
        <f>J560/K560</f>
        <v>0.018928532930904386</v>
      </c>
      <c r="M560" s="183">
        <v>302.3</v>
      </c>
      <c r="N560" s="159">
        <f>L560*M560</f>
        <v>5.722095505012396</v>
      </c>
      <c r="O560" s="159">
        <f>L560*60*1000</f>
        <v>1135.711975854263</v>
      </c>
      <c r="P560" s="161">
        <f>O560*M560/1000</f>
        <v>343.3257303007437</v>
      </c>
      <c r="R560" s="10"/>
      <c r="S560" s="10"/>
    </row>
    <row r="561" spans="1:19" s="9" customFormat="1" ht="12.75" customHeight="1">
      <c r="A561" s="273"/>
      <c r="B561" s="173" t="s">
        <v>197</v>
      </c>
      <c r="C561" s="174">
        <v>7</v>
      </c>
      <c r="D561" s="127">
        <v>1993</v>
      </c>
      <c r="E561" s="128">
        <f>+F561+G561+H561</f>
        <v>7.3285860000000005</v>
      </c>
      <c r="F561" s="175">
        <v>0.343552</v>
      </c>
      <c r="G561" s="175">
        <v>1.12</v>
      </c>
      <c r="H561" s="175">
        <v>5.8650340000000005</v>
      </c>
      <c r="I561" s="176">
        <v>360.39</v>
      </c>
      <c r="J561" s="175">
        <v>5.8650340000000005</v>
      </c>
      <c r="K561" s="176">
        <v>309.77</v>
      </c>
      <c r="L561" s="130">
        <f>+J561/K561</f>
        <v>0.018933511960486815</v>
      </c>
      <c r="M561" s="131">
        <v>338.118</v>
      </c>
      <c r="N561" s="131">
        <f>+L561*M561</f>
        <v>6.4017611970558805</v>
      </c>
      <c r="O561" s="131">
        <f>+L561*60*1000</f>
        <v>1136.010717629209</v>
      </c>
      <c r="P561" s="132">
        <f>+N561*60</f>
        <v>384.10567182335285</v>
      </c>
      <c r="R561" s="10"/>
      <c r="S561" s="10"/>
    </row>
    <row r="562" spans="1:19" s="9" customFormat="1" ht="12.75" customHeight="1">
      <c r="A562" s="273"/>
      <c r="B562" s="126" t="s">
        <v>496</v>
      </c>
      <c r="C562" s="127">
        <v>24</v>
      </c>
      <c r="D562" s="127" t="s">
        <v>24</v>
      </c>
      <c r="E562" s="128">
        <f>SUM(F562:H562)</f>
        <v>24</v>
      </c>
      <c r="F562" s="128">
        <v>2.45</v>
      </c>
      <c r="G562" s="128">
        <v>0.23</v>
      </c>
      <c r="H562" s="128">
        <v>21.32</v>
      </c>
      <c r="I562" s="129">
        <v>1111.86</v>
      </c>
      <c r="J562" s="128">
        <v>18.58</v>
      </c>
      <c r="K562" s="129">
        <v>980.15</v>
      </c>
      <c r="L562" s="157">
        <f>J562/K562</f>
        <v>0.018956282201703818</v>
      </c>
      <c r="M562" s="183">
        <v>206.1</v>
      </c>
      <c r="N562" s="159">
        <f>L562*M562</f>
        <v>3.906889761771157</v>
      </c>
      <c r="O562" s="159">
        <f>L562*60*1000</f>
        <v>1137.3769321022291</v>
      </c>
      <c r="P562" s="161">
        <f>O562*M562/1000</f>
        <v>234.41338570626942</v>
      </c>
      <c r="R562" s="10"/>
      <c r="S562" s="10"/>
    </row>
    <row r="563" spans="1:19" s="9" customFormat="1" ht="12.75" customHeight="1">
      <c r="A563" s="273"/>
      <c r="B563" s="152" t="s">
        <v>580</v>
      </c>
      <c r="C563" s="97">
        <v>80</v>
      </c>
      <c r="D563" s="97">
        <v>1968</v>
      </c>
      <c r="E563" s="153">
        <v>92.12135</v>
      </c>
      <c r="F563" s="153">
        <v>8.4386</v>
      </c>
      <c r="G563" s="153">
        <v>7.97</v>
      </c>
      <c r="H563" s="153">
        <f>E563-F563-G563</f>
        <v>75.71275000000001</v>
      </c>
      <c r="I563" s="155">
        <v>3989.83</v>
      </c>
      <c r="J563" s="153">
        <f>H563</f>
        <v>75.71275000000001</v>
      </c>
      <c r="K563" s="155">
        <f>I563</f>
        <v>3989.83</v>
      </c>
      <c r="L563" s="157">
        <f>J563/K563</f>
        <v>0.018976435086206684</v>
      </c>
      <c r="M563" s="183">
        <v>279.5</v>
      </c>
      <c r="N563" s="159">
        <f>L563*M563</f>
        <v>5.303913606594768</v>
      </c>
      <c r="O563" s="159">
        <f>L563*60*1000</f>
        <v>1138.5861051724012</v>
      </c>
      <c r="P563" s="161">
        <f>O563*M563/1000</f>
        <v>318.23481639568615</v>
      </c>
      <c r="R563" s="10"/>
      <c r="S563" s="10"/>
    </row>
    <row r="564" spans="1:19" s="9" customFormat="1" ht="12.75" customHeight="1">
      <c r="A564" s="273"/>
      <c r="B564" s="152" t="s">
        <v>655</v>
      </c>
      <c r="C564" s="97">
        <v>33</v>
      </c>
      <c r="D564" s="97">
        <v>1978</v>
      </c>
      <c r="E564" s="153">
        <v>45.720001</v>
      </c>
      <c r="F564" s="153">
        <v>2.907</v>
      </c>
      <c r="G564" s="153">
        <v>5.04</v>
      </c>
      <c r="H564" s="153">
        <v>37.773001</v>
      </c>
      <c r="I564" s="155">
        <v>1987.02</v>
      </c>
      <c r="J564" s="153">
        <v>37.773001</v>
      </c>
      <c r="K564" s="155">
        <v>1987.02</v>
      </c>
      <c r="L564" s="157">
        <f>J564/K564</f>
        <v>0.01900987458606355</v>
      </c>
      <c r="M564" s="183">
        <v>254.2</v>
      </c>
      <c r="N564" s="159">
        <f>L564*M564</f>
        <v>4.832310119777355</v>
      </c>
      <c r="O564" s="159">
        <f>L564*60*1000</f>
        <v>1140.592475163813</v>
      </c>
      <c r="P564" s="161">
        <f>O564*M564/1000</f>
        <v>289.93860718664126</v>
      </c>
      <c r="R564" s="10"/>
      <c r="S564" s="10"/>
    </row>
    <row r="565" spans="1:19" s="9" customFormat="1" ht="12.75" customHeight="1">
      <c r="A565" s="273"/>
      <c r="B565" s="126" t="s">
        <v>264</v>
      </c>
      <c r="C565" s="127">
        <v>38</v>
      </c>
      <c r="D565" s="127" t="s">
        <v>24</v>
      </c>
      <c r="E565" s="128">
        <v>53.32</v>
      </c>
      <c r="F565" s="128">
        <v>3.982086</v>
      </c>
      <c r="G565" s="128">
        <v>6</v>
      </c>
      <c r="H565" s="128">
        <v>43.337914</v>
      </c>
      <c r="I565" s="129">
        <v>2277.52</v>
      </c>
      <c r="J565" s="128">
        <v>43.337914</v>
      </c>
      <c r="K565" s="129">
        <v>2277.52</v>
      </c>
      <c r="L565" s="130">
        <f>J565/K565</f>
        <v>0.019028554743756365</v>
      </c>
      <c r="M565" s="127">
        <v>298.66</v>
      </c>
      <c r="N565" s="131">
        <f>L565*M565</f>
        <v>5.683068159770277</v>
      </c>
      <c r="O565" s="131">
        <f>L565*60*1000</f>
        <v>1141.713284625382</v>
      </c>
      <c r="P565" s="132">
        <f>O565*M565/1000</f>
        <v>340.9840895862166</v>
      </c>
      <c r="R565" s="10"/>
      <c r="S565" s="10"/>
    </row>
    <row r="566" spans="1:19" s="9" customFormat="1" ht="12.75" customHeight="1">
      <c r="A566" s="273"/>
      <c r="B566" s="309" t="s">
        <v>1025</v>
      </c>
      <c r="C566" s="310">
        <v>32</v>
      </c>
      <c r="D566" s="311" t="s">
        <v>24</v>
      </c>
      <c r="E566" s="304">
        <v>24.89</v>
      </c>
      <c r="F566" s="304">
        <v>2.45</v>
      </c>
      <c r="G566" s="305">
        <v>0.31</v>
      </c>
      <c r="H566" s="304">
        <v>22.13</v>
      </c>
      <c r="I566" s="306">
        <v>1162.87</v>
      </c>
      <c r="J566" s="304">
        <v>20.87</v>
      </c>
      <c r="K566" s="307">
        <v>1096.68</v>
      </c>
      <c r="L566" s="157">
        <f>J566/K566</f>
        <v>0.01903016376700587</v>
      </c>
      <c r="M566" s="183">
        <v>269.2</v>
      </c>
      <c r="N566" s="159">
        <f>L566*M566</f>
        <v>5.12292008607798</v>
      </c>
      <c r="O566" s="159">
        <f>L566*60*1000</f>
        <v>1141.8098260203521</v>
      </c>
      <c r="P566" s="161">
        <f>O566*M566/1000</f>
        <v>307.3752051646788</v>
      </c>
      <c r="Q566" s="11"/>
      <c r="R566" s="10"/>
      <c r="S566" s="10"/>
    </row>
    <row r="567" spans="1:25" s="9" customFormat="1" ht="12.75" customHeight="1">
      <c r="A567" s="273"/>
      <c r="B567" s="241" t="s">
        <v>917</v>
      </c>
      <c r="C567" s="97">
        <v>7</v>
      </c>
      <c r="D567" s="97"/>
      <c r="E567" s="242">
        <f>F567+G567+H567</f>
        <v>4.39</v>
      </c>
      <c r="F567" s="242"/>
      <c r="G567" s="242"/>
      <c r="H567" s="242">
        <v>4.39</v>
      </c>
      <c r="I567" s="243">
        <v>230.19</v>
      </c>
      <c r="J567" s="242">
        <f>E567</f>
        <v>4.39</v>
      </c>
      <c r="K567" s="243">
        <v>230.19</v>
      </c>
      <c r="L567" s="244">
        <f>J567/K567</f>
        <v>0.019071202050480036</v>
      </c>
      <c r="M567" s="245">
        <v>244.38</v>
      </c>
      <c r="N567" s="246">
        <f>L567*M567</f>
        <v>4.660620357096311</v>
      </c>
      <c r="O567" s="246">
        <f>L567*60*1000</f>
        <v>1144.2721230288023</v>
      </c>
      <c r="P567" s="247">
        <f>O567*M567/1000</f>
        <v>279.6372214257787</v>
      </c>
      <c r="Q567" s="10"/>
      <c r="R567" s="10"/>
      <c r="S567" s="10"/>
      <c r="T567" s="12"/>
      <c r="U567" s="13"/>
      <c r="V567" s="13"/>
      <c r="W567" s="14"/>
      <c r="X567" s="14"/>
      <c r="Y567" s="14"/>
    </row>
    <row r="568" spans="1:19" s="9" customFormat="1" ht="12.75" customHeight="1">
      <c r="A568" s="273"/>
      <c r="B568" s="173" t="s">
        <v>103</v>
      </c>
      <c r="C568" s="174">
        <v>20</v>
      </c>
      <c r="D568" s="127">
        <v>1981</v>
      </c>
      <c r="E568" s="128">
        <f>+F568+G568+H568</f>
        <v>24.962001</v>
      </c>
      <c r="F568" s="175">
        <v>2.040377</v>
      </c>
      <c r="G568" s="175">
        <v>3.2</v>
      </c>
      <c r="H568" s="175">
        <v>19.721624</v>
      </c>
      <c r="I568" s="176">
        <v>1031.73</v>
      </c>
      <c r="J568" s="175">
        <v>19.721624</v>
      </c>
      <c r="K568" s="176">
        <v>1031.73</v>
      </c>
      <c r="L568" s="130">
        <f>+J568/K568</f>
        <v>0.01911510181927442</v>
      </c>
      <c r="M568" s="131">
        <v>338.118</v>
      </c>
      <c r="N568" s="131">
        <f>+L568*M568</f>
        <v>6.463159996929429</v>
      </c>
      <c r="O568" s="131">
        <f>+L568*60*1000</f>
        <v>1146.9061091564652</v>
      </c>
      <c r="P568" s="132">
        <f>+N568*60</f>
        <v>387.7895998157657</v>
      </c>
      <c r="R568" s="10"/>
      <c r="S568" s="10"/>
    </row>
    <row r="569" spans="1:19" s="9" customFormat="1" ht="12.75" customHeight="1">
      <c r="A569" s="273"/>
      <c r="B569" s="152" t="s">
        <v>431</v>
      </c>
      <c r="C569" s="97">
        <v>36</v>
      </c>
      <c r="D569" s="97">
        <v>1972</v>
      </c>
      <c r="E569" s="153">
        <v>36.953999</v>
      </c>
      <c r="F569" s="153">
        <v>2.193</v>
      </c>
      <c r="G569" s="153">
        <v>5.76</v>
      </c>
      <c r="H569" s="153">
        <v>29.000999</v>
      </c>
      <c r="I569" s="155">
        <v>1516.82</v>
      </c>
      <c r="J569" s="153">
        <v>27.943685</v>
      </c>
      <c r="K569" s="155">
        <v>1461.52</v>
      </c>
      <c r="L569" s="157">
        <f>J569/K569</f>
        <v>0.01911960493185177</v>
      </c>
      <c r="M569" s="183">
        <v>254.2</v>
      </c>
      <c r="N569" s="159">
        <f>L569*M569</f>
        <v>4.86020357367672</v>
      </c>
      <c r="O569" s="159">
        <f>L569*60*1000</f>
        <v>1147.1762959111063</v>
      </c>
      <c r="P569" s="161">
        <f>O569*M569/1000</f>
        <v>291.61221442060327</v>
      </c>
      <c r="R569" s="10"/>
      <c r="S569" s="10"/>
    </row>
    <row r="570" spans="1:19" s="9" customFormat="1" ht="12.75" customHeight="1">
      <c r="A570" s="273"/>
      <c r="B570" s="152" t="s">
        <v>431</v>
      </c>
      <c r="C570" s="97">
        <v>36</v>
      </c>
      <c r="D570" s="97">
        <v>1972</v>
      </c>
      <c r="E570" s="153">
        <v>36.953999</v>
      </c>
      <c r="F570" s="153">
        <v>2.193</v>
      </c>
      <c r="G570" s="153">
        <v>5.76</v>
      </c>
      <c r="H570" s="153">
        <v>29.000999</v>
      </c>
      <c r="I570" s="155">
        <v>1516.82</v>
      </c>
      <c r="J570" s="153">
        <v>27.943685</v>
      </c>
      <c r="K570" s="155">
        <v>1461.52</v>
      </c>
      <c r="L570" s="157">
        <f>J570/K570</f>
        <v>0.01911960493185177</v>
      </c>
      <c r="M570" s="183">
        <v>254.2</v>
      </c>
      <c r="N570" s="159">
        <f>L570*M570</f>
        <v>4.86020357367672</v>
      </c>
      <c r="O570" s="159">
        <f>L570*60*1000</f>
        <v>1147.1762959111063</v>
      </c>
      <c r="P570" s="161">
        <f>O570*M570/1000</f>
        <v>291.61221442060327</v>
      </c>
      <c r="R570" s="10"/>
      <c r="S570" s="10"/>
    </row>
    <row r="571" spans="1:19" s="9" customFormat="1" ht="12.75" customHeight="1">
      <c r="A571" s="273"/>
      <c r="B571" s="173" t="s">
        <v>237</v>
      </c>
      <c r="C571" s="174">
        <v>5</v>
      </c>
      <c r="D571" s="127">
        <v>1924</v>
      </c>
      <c r="E571" s="128">
        <f>+F571+G571+H571</f>
        <v>5.1421</v>
      </c>
      <c r="F571" s="175">
        <v>0.440176</v>
      </c>
      <c r="G571" s="175">
        <v>0</v>
      </c>
      <c r="H571" s="175">
        <v>4.701924</v>
      </c>
      <c r="I571" s="176">
        <v>245.91</v>
      </c>
      <c r="J571" s="175">
        <v>4.701924</v>
      </c>
      <c r="K571" s="176">
        <v>245.91</v>
      </c>
      <c r="L571" s="130">
        <f>+J571/K571</f>
        <v>0.019120507502744907</v>
      </c>
      <c r="M571" s="131">
        <v>338.118</v>
      </c>
      <c r="N571" s="131">
        <f>+L571*M571</f>
        <v>6.464987755813103</v>
      </c>
      <c r="O571" s="131">
        <f>+L571*60*1000</f>
        <v>1147.2304501646943</v>
      </c>
      <c r="P571" s="132">
        <f>+N571*60</f>
        <v>387.8992653487862</v>
      </c>
      <c r="Q571" s="11"/>
      <c r="R571" s="10"/>
      <c r="S571" s="10"/>
    </row>
    <row r="572" spans="1:19" s="9" customFormat="1" ht="12.75" customHeight="1">
      <c r="A572" s="273"/>
      <c r="B572" s="152" t="s">
        <v>867</v>
      </c>
      <c r="C572" s="97">
        <v>22</v>
      </c>
      <c r="D572" s="97">
        <v>1987</v>
      </c>
      <c r="E572" s="153">
        <f>F572+G572+H572</f>
        <v>28.891097000000002</v>
      </c>
      <c r="F572" s="153">
        <v>1.94566</v>
      </c>
      <c r="G572" s="153">
        <v>3.80579</v>
      </c>
      <c r="H572" s="153">
        <v>23.139647</v>
      </c>
      <c r="I572" s="155">
        <v>1205.6</v>
      </c>
      <c r="J572" s="153">
        <f>H572</f>
        <v>23.139647</v>
      </c>
      <c r="K572" s="155">
        <f>I572</f>
        <v>1205.6</v>
      </c>
      <c r="L572" s="157">
        <f>J572/K572</f>
        <v>0.0191934696416722</v>
      </c>
      <c r="M572" s="183">
        <f>M571</f>
        <v>338.118</v>
      </c>
      <c r="N572" s="159">
        <f>L572*M572</f>
        <v>6.4896575683029205</v>
      </c>
      <c r="O572" s="159">
        <f>L572*60*1000</f>
        <v>1151.608178500332</v>
      </c>
      <c r="P572" s="161">
        <f>O572*M572/1000</f>
        <v>389.3794540981753</v>
      </c>
      <c r="R572" s="10"/>
      <c r="S572" s="10"/>
    </row>
    <row r="573" spans="1:19" s="9" customFormat="1" ht="12.75" customHeight="1">
      <c r="A573" s="273"/>
      <c r="B573" s="208" t="s">
        <v>671</v>
      </c>
      <c r="C573" s="267">
        <v>18</v>
      </c>
      <c r="D573" s="209">
        <v>1987</v>
      </c>
      <c r="E573" s="210">
        <v>27.490001</v>
      </c>
      <c r="F573" s="211">
        <v>2.04</v>
      </c>
      <c r="G573" s="211">
        <v>2.88</v>
      </c>
      <c r="H573" s="211">
        <v>22.570001</v>
      </c>
      <c r="I573" s="212">
        <v>1175.23</v>
      </c>
      <c r="J573" s="211">
        <v>22.570001</v>
      </c>
      <c r="K573" s="212">
        <v>1175.23</v>
      </c>
      <c r="L573" s="213">
        <v>0.0192047522612595</v>
      </c>
      <c r="M573" s="214">
        <v>314.574</v>
      </c>
      <c r="N573" s="215">
        <v>6.041315737833446</v>
      </c>
      <c r="O573" s="215">
        <v>1152.2851356755698</v>
      </c>
      <c r="P573" s="216">
        <v>362.4789442700067</v>
      </c>
      <c r="R573" s="10"/>
      <c r="S573" s="10"/>
    </row>
    <row r="574" spans="1:19" s="9" customFormat="1" ht="12.75" customHeight="1">
      <c r="A574" s="273"/>
      <c r="B574" s="152" t="s">
        <v>945</v>
      </c>
      <c r="C574" s="97">
        <v>18</v>
      </c>
      <c r="D574" s="97">
        <v>1981</v>
      </c>
      <c r="E574" s="153">
        <v>23.636</v>
      </c>
      <c r="F574" s="153">
        <v>1.975</v>
      </c>
      <c r="G574" s="153">
        <v>2.88</v>
      </c>
      <c r="H574" s="153">
        <v>18.781</v>
      </c>
      <c r="I574" s="155">
        <v>975.09</v>
      </c>
      <c r="J574" s="153">
        <v>18.781</v>
      </c>
      <c r="K574" s="155">
        <v>975.09</v>
      </c>
      <c r="L574" s="157">
        <f>J574/K574</f>
        <v>0.01926078618383944</v>
      </c>
      <c r="M574" s="183">
        <v>201.868</v>
      </c>
      <c r="N574" s="159">
        <f>L574*M574</f>
        <v>3.8881363853593</v>
      </c>
      <c r="O574" s="159">
        <f>L574*60*1000</f>
        <v>1155.6471710303665</v>
      </c>
      <c r="P574" s="161">
        <f>O574*M574/1000</f>
        <v>233.288183121558</v>
      </c>
      <c r="R574" s="10"/>
      <c r="S574" s="10"/>
    </row>
    <row r="575" spans="1:19" s="9" customFormat="1" ht="12.75" customHeight="1">
      <c r="A575" s="273"/>
      <c r="B575" s="208" t="s">
        <v>672</v>
      </c>
      <c r="C575" s="267">
        <v>16</v>
      </c>
      <c r="D575" s="209">
        <v>1989</v>
      </c>
      <c r="E575" s="210">
        <v>20.816442000000002</v>
      </c>
      <c r="F575" s="211">
        <v>0</v>
      </c>
      <c r="G575" s="211">
        <v>0</v>
      </c>
      <c r="H575" s="211">
        <v>20.816442000000002</v>
      </c>
      <c r="I575" s="212">
        <v>1146.81</v>
      </c>
      <c r="J575" s="211">
        <v>20.816442000000002</v>
      </c>
      <c r="K575" s="212">
        <v>1079.49</v>
      </c>
      <c r="L575" s="213">
        <v>0.019283589472806603</v>
      </c>
      <c r="M575" s="214">
        <v>314.574</v>
      </c>
      <c r="N575" s="215">
        <v>6.0661158748186645</v>
      </c>
      <c r="O575" s="215">
        <v>1157.0153683683961</v>
      </c>
      <c r="P575" s="216">
        <v>363.9669524891198</v>
      </c>
      <c r="R575" s="10"/>
      <c r="S575" s="10"/>
    </row>
    <row r="576" spans="1:19" s="9" customFormat="1" ht="12.75" customHeight="1">
      <c r="A576" s="273"/>
      <c r="B576" s="126" t="s">
        <v>504</v>
      </c>
      <c r="C576" s="127">
        <v>41</v>
      </c>
      <c r="D576" s="127" t="s">
        <v>24</v>
      </c>
      <c r="E576" s="128">
        <f>SUM(F576:H576)</f>
        <v>19.12</v>
      </c>
      <c r="F576" s="128">
        <v>1.16</v>
      </c>
      <c r="G576" s="128">
        <v>0.2</v>
      </c>
      <c r="H576" s="128">
        <v>17.76</v>
      </c>
      <c r="I576" s="129">
        <v>910.85</v>
      </c>
      <c r="J576" s="128">
        <v>16.75</v>
      </c>
      <c r="K576" s="129">
        <v>867.57</v>
      </c>
      <c r="L576" s="157">
        <f>J576/K576</f>
        <v>0.0193067994513411</v>
      </c>
      <c r="M576" s="183">
        <v>206.1</v>
      </c>
      <c r="N576" s="159">
        <f>L576*M576</f>
        <v>3.9791313669214006</v>
      </c>
      <c r="O576" s="159">
        <f>L576*60*1000</f>
        <v>1158.4079670804658</v>
      </c>
      <c r="P576" s="161">
        <f>O576*M576/1000</f>
        <v>238.747882015284</v>
      </c>
      <c r="R576" s="10"/>
      <c r="S576" s="10"/>
    </row>
    <row r="577" spans="1:19" s="9" customFormat="1" ht="12.75" customHeight="1">
      <c r="A577" s="273"/>
      <c r="B577" s="173" t="s">
        <v>104</v>
      </c>
      <c r="C577" s="174">
        <v>46</v>
      </c>
      <c r="D577" s="127">
        <v>1963</v>
      </c>
      <c r="E577" s="128">
        <f>+F577+G577+H577</f>
        <v>20.987512</v>
      </c>
      <c r="F577" s="175">
        <v>0.42407200000000006</v>
      </c>
      <c r="G577" s="175">
        <v>0</v>
      </c>
      <c r="H577" s="175">
        <v>20.56344</v>
      </c>
      <c r="I577" s="176">
        <v>1094</v>
      </c>
      <c r="J577" s="175">
        <v>20.56344</v>
      </c>
      <c r="K577" s="176">
        <v>1064.64</v>
      </c>
      <c r="L577" s="130">
        <f>+J577/K577</f>
        <v>0.019314923354373306</v>
      </c>
      <c r="M577" s="131">
        <v>338.118</v>
      </c>
      <c r="N577" s="131">
        <f>+L577*M577</f>
        <v>6.530723254733993</v>
      </c>
      <c r="O577" s="131">
        <f>+L577*60*1000</f>
        <v>1158.8954012623985</v>
      </c>
      <c r="P577" s="132">
        <f>+N577*60</f>
        <v>391.84339528403956</v>
      </c>
      <c r="Q577" s="11"/>
      <c r="R577" s="10"/>
      <c r="S577" s="10"/>
    </row>
    <row r="578" spans="1:19" s="9" customFormat="1" ht="12.75" customHeight="1">
      <c r="A578" s="273"/>
      <c r="B578" s="208" t="s">
        <v>446</v>
      </c>
      <c r="C578" s="267">
        <v>12</v>
      </c>
      <c r="D578" s="209">
        <v>1976</v>
      </c>
      <c r="E578" s="210">
        <v>11.318016000000002</v>
      </c>
      <c r="F578" s="211">
        <v>0.816</v>
      </c>
      <c r="G578" s="211">
        <v>0.12</v>
      </c>
      <c r="H578" s="211">
        <v>10.382016000000002</v>
      </c>
      <c r="I578" s="212">
        <v>536.97</v>
      </c>
      <c r="J578" s="211">
        <v>10.382016000000002</v>
      </c>
      <c r="K578" s="212">
        <v>536.97</v>
      </c>
      <c r="L578" s="213">
        <v>0.019334443264986872</v>
      </c>
      <c r="M578" s="214">
        <v>314.574</v>
      </c>
      <c r="N578" s="215">
        <v>6.082113155639981</v>
      </c>
      <c r="O578" s="215">
        <v>1160.0665958992122</v>
      </c>
      <c r="P578" s="216">
        <v>364.9267893383988</v>
      </c>
      <c r="R578" s="10"/>
      <c r="S578" s="10"/>
    </row>
    <row r="579" spans="1:19" s="9" customFormat="1" ht="12.75" customHeight="1">
      <c r="A579" s="273"/>
      <c r="B579" s="208" t="s">
        <v>673</v>
      </c>
      <c r="C579" s="267">
        <v>20</v>
      </c>
      <c r="D579" s="209">
        <v>1985</v>
      </c>
      <c r="E579" s="210">
        <v>25.659001</v>
      </c>
      <c r="F579" s="211">
        <v>1.836</v>
      </c>
      <c r="G579" s="211">
        <v>3.2</v>
      </c>
      <c r="H579" s="211">
        <v>20.623001</v>
      </c>
      <c r="I579" s="212">
        <v>1066.27</v>
      </c>
      <c r="J579" s="211">
        <v>20.623001</v>
      </c>
      <c r="K579" s="212">
        <v>1066.27</v>
      </c>
      <c r="L579" s="213">
        <v>0.01934125596706275</v>
      </c>
      <c r="M579" s="214">
        <v>314.574</v>
      </c>
      <c r="N579" s="215">
        <v>6.084256254582798</v>
      </c>
      <c r="O579" s="215">
        <v>1160.475358023765</v>
      </c>
      <c r="P579" s="216">
        <v>365.05537527496784</v>
      </c>
      <c r="R579" s="10"/>
      <c r="S579" s="10"/>
    </row>
    <row r="580" spans="1:19" s="9" customFormat="1" ht="12.75" customHeight="1">
      <c r="A580" s="273"/>
      <c r="B580" s="241" t="s">
        <v>918</v>
      </c>
      <c r="C580" s="97">
        <v>40</v>
      </c>
      <c r="D580" s="97">
        <v>1987</v>
      </c>
      <c r="E580" s="242">
        <f>F580+G580+H580</f>
        <v>43.5</v>
      </c>
      <c r="F580" s="242">
        <v>2.48</v>
      </c>
      <c r="G580" s="242">
        <v>6.4</v>
      </c>
      <c r="H580" s="242">
        <v>34.62</v>
      </c>
      <c r="I580" s="243">
        <v>2247.83</v>
      </c>
      <c r="J580" s="242">
        <f>E580</f>
        <v>43.5</v>
      </c>
      <c r="K580" s="243">
        <v>2247.83</v>
      </c>
      <c r="L580" s="244">
        <f>J580/K580</f>
        <v>0.01935199725957924</v>
      </c>
      <c r="M580" s="245">
        <v>244.38</v>
      </c>
      <c r="N580" s="246">
        <f>L580*M580</f>
        <v>4.729241090295974</v>
      </c>
      <c r="O580" s="246">
        <f>L580*60*1000</f>
        <v>1161.1198355747542</v>
      </c>
      <c r="P580" s="247">
        <f>O580*M580/1000</f>
        <v>283.75446541775847</v>
      </c>
      <c r="R580" s="10"/>
      <c r="S580" s="10"/>
    </row>
    <row r="581" spans="1:19" s="9" customFormat="1" ht="12.75" customHeight="1">
      <c r="A581" s="273"/>
      <c r="B581" s="173" t="s">
        <v>102</v>
      </c>
      <c r="C581" s="174">
        <v>22</v>
      </c>
      <c r="D581" s="127">
        <v>1964</v>
      </c>
      <c r="E581" s="128">
        <f>+F581+G581+H581</f>
        <v>21.501914000000003</v>
      </c>
      <c r="F581" s="175">
        <v>1.26148</v>
      </c>
      <c r="G581" s="175">
        <v>0.38</v>
      </c>
      <c r="H581" s="175">
        <v>19.860434</v>
      </c>
      <c r="I581" s="176">
        <v>1065.94</v>
      </c>
      <c r="J581" s="175">
        <v>19.860434</v>
      </c>
      <c r="K581" s="176">
        <v>1024.21</v>
      </c>
      <c r="L581" s="130">
        <f>+J581/K581</f>
        <v>0.01939097841263022</v>
      </c>
      <c r="M581" s="131">
        <v>338.118</v>
      </c>
      <c r="N581" s="131">
        <f>+L581*M581</f>
        <v>6.556438838921705</v>
      </c>
      <c r="O581" s="131">
        <f>+L581*60*1000</f>
        <v>1163.4587047578134</v>
      </c>
      <c r="P581" s="132">
        <f>+N581*60</f>
        <v>393.3863303353023</v>
      </c>
      <c r="R581" s="10"/>
      <c r="S581" s="10"/>
    </row>
    <row r="582" spans="1:19" s="9" customFormat="1" ht="12.75" customHeight="1">
      <c r="A582" s="273"/>
      <c r="B582" s="152" t="s">
        <v>822</v>
      </c>
      <c r="C582" s="97">
        <v>12</v>
      </c>
      <c r="D582" s="97" t="s">
        <v>24</v>
      </c>
      <c r="E582" s="153">
        <v>15</v>
      </c>
      <c r="F582" s="153">
        <f>22*0.051</f>
        <v>1.1219999999999999</v>
      </c>
      <c r="G582" s="153">
        <f>0.16*12</f>
        <v>1.92</v>
      </c>
      <c r="H582" s="153">
        <f>+E582-F582-G582</f>
        <v>11.958</v>
      </c>
      <c r="I582" s="231"/>
      <c r="J582" s="153">
        <f>+H582</f>
        <v>11.958</v>
      </c>
      <c r="K582" s="155">
        <v>616.07</v>
      </c>
      <c r="L582" s="157">
        <f>J582/K582</f>
        <v>0.019410131965523398</v>
      </c>
      <c r="M582" s="183">
        <v>343.2</v>
      </c>
      <c r="N582" s="159">
        <f>L582*M582</f>
        <v>6.66155729056763</v>
      </c>
      <c r="O582" s="159">
        <f>L582*60*1000</f>
        <v>1164.607917931404</v>
      </c>
      <c r="P582" s="161">
        <f>O582*M582/1000</f>
        <v>399.69343743405784</v>
      </c>
      <c r="Q582" s="11"/>
      <c r="R582" s="10"/>
      <c r="S582" s="10"/>
    </row>
    <row r="583" spans="1:19" s="9" customFormat="1" ht="12.75" customHeight="1">
      <c r="A583" s="273"/>
      <c r="B583" s="309" t="s">
        <v>1026</v>
      </c>
      <c r="C583" s="310">
        <v>14</v>
      </c>
      <c r="D583" s="311" t="s">
        <v>24</v>
      </c>
      <c r="E583" s="304">
        <v>14.9</v>
      </c>
      <c r="F583" s="304">
        <v>0</v>
      </c>
      <c r="G583" s="305">
        <v>0</v>
      </c>
      <c r="H583" s="304">
        <v>14.9</v>
      </c>
      <c r="I583" s="306">
        <v>766.97</v>
      </c>
      <c r="J583" s="304">
        <v>10.04</v>
      </c>
      <c r="K583" s="307">
        <v>516.55</v>
      </c>
      <c r="L583" s="157">
        <f>J583/K583</f>
        <v>0.01943664698480302</v>
      </c>
      <c r="M583" s="183">
        <v>269.2</v>
      </c>
      <c r="N583" s="159">
        <f>L583*M583</f>
        <v>5.232345368308972</v>
      </c>
      <c r="O583" s="159">
        <f>L583*60*1000</f>
        <v>1166.1988190881812</v>
      </c>
      <c r="P583" s="161">
        <f>O583*M583/1000</f>
        <v>313.94072209853834</v>
      </c>
      <c r="R583" s="10"/>
      <c r="S583" s="10"/>
    </row>
    <row r="584" spans="1:19" s="9" customFormat="1" ht="12.75" customHeight="1">
      <c r="A584" s="273"/>
      <c r="B584" s="126" t="s">
        <v>65</v>
      </c>
      <c r="C584" s="127">
        <v>92</v>
      </c>
      <c r="D584" s="127">
        <v>1991</v>
      </c>
      <c r="E584" s="128">
        <v>95.83</v>
      </c>
      <c r="F584" s="128">
        <v>8.36</v>
      </c>
      <c r="G584" s="128">
        <v>15.12</v>
      </c>
      <c r="H584" s="128">
        <f>E584-F584-G584</f>
        <v>72.35</v>
      </c>
      <c r="I584" s="129">
        <v>3720.6</v>
      </c>
      <c r="J584" s="128">
        <f>H584/I584*K584</f>
        <v>68.95476536042574</v>
      </c>
      <c r="K584" s="127">
        <v>3546</v>
      </c>
      <c r="L584" s="130">
        <f>J584/K584</f>
        <v>0.019445788313712842</v>
      </c>
      <c r="M584" s="140">
        <f>294.4*1.09</f>
        <v>320.896</v>
      </c>
      <c r="N584" s="131">
        <f>L584*M584</f>
        <v>6.240075686717197</v>
      </c>
      <c r="O584" s="131">
        <f>L584*60*1000</f>
        <v>1166.7472988227705</v>
      </c>
      <c r="P584" s="132">
        <f>O584*M584/1000</f>
        <v>374.4045412030318</v>
      </c>
      <c r="R584" s="10"/>
      <c r="S584" s="10"/>
    </row>
    <row r="585" spans="1:19" s="9" customFormat="1" ht="12.75" customHeight="1">
      <c r="A585" s="273"/>
      <c r="B585" s="126" t="s">
        <v>500</v>
      </c>
      <c r="C585" s="127">
        <v>42</v>
      </c>
      <c r="D585" s="127" t="s">
        <v>24</v>
      </c>
      <c r="E585" s="128">
        <f>SUM(F585:H585)</f>
        <v>40.449999999999996</v>
      </c>
      <c r="F585" s="128">
        <v>2.6</v>
      </c>
      <c r="G585" s="128">
        <v>0.44</v>
      </c>
      <c r="H585" s="128">
        <v>37.41</v>
      </c>
      <c r="I585" s="129">
        <v>1954.43</v>
      </c>
      <c r="J585" s="128">
        <v>36.27</v>
      </c>
      <c r="K585" s="129">
        <v>1862.1</v>
      </c>
      <c r="L585" s="157">
        <f>J585/K585</f>
        <v>0.019478008699855005</v>
      </c>
      <c r="M585" s="183">
        <v>206.1</v>
      </c>
      <c r="N585" s="159">
        <f>L585*M585</f>
        <v>4.0144175930401165</v>
      </c>
      <c r="O585" s="159">
        <f>L585*60*1000</f>
        <v>1168.6805219913003</v>
      </c>
      <c r="P585" s="161">
        <f>O585*M585/1000</f>
        <v>240.865055582407</v>
      </c>
      <c r="R585" s="10"/>
      <c r="S585" s="10"/>
    </row>
    <row r="586" spans="1:19" s="9" customFormat="1" ht="12.75" customHeight="1">
      <c r="A586" s="273"/>
      <c r="B586" s="152" t="s">
        <v>245</v>
      </c>
      <c r="C586" s="97">
        <v>100</v>
      </c>
      <c r="D586" s="97" t="s">
        <v>24</v>
      </c>
      <c r="E586" s="153">
        <v>67.34</v>
      </c>
      <c r="F586" s="153">
        <v>3.37</v>
      </c>
      <c r="G586" s="153">
        <v>0.84</v>
      </c>
      <c r="H586" s="153">
        <v>63.13</v>
      </c>
      <c r="I586" s="155">
        <v>3237</v>
      </c>
      <c r="J586" s="153">
        <v>63.13</v>
      </c>
      <c r="K586" s="155">
        <v>3237</v>
      </c>
      <c r="L586" s="157">
        <f>J586/K586</f>
        <v>0.01950262588816806</v>
      </c>
      <c r="M586" s="183">
        <v>234.2</v>
      </c>
      <c r="N586" s="159">
        <f>L586*M586</f>
        <v>4.56751498300896</v>
      </c>
      <c r="O586" s="159">
        <f>L586*60*1000</f>
        <v>1170.1575532900836</v>
      </c>
      <c r="P586" s="161">
        <f>O586*M586/1000</f>
        <v>274.05089898053757</v>
      </c>
      <c r="Q586" s="11"/>
      <c r="R586" s="10"/>
      <c r="S586" s="10"/>
    </row>
    <row r="587" spans="1:19" s="9" customFormat="1" ht="12.75" customHeight="1">
      <c r="A587" s="273"/>
      <c r="B587" s="241" t="s">
        <v>919</v>
      </c>
      <c r="C587" s="97">
        <v>40</v>
      </c>
      <c r="D587" s="97">
        <v>1991</v>
      </c>
      <c r="E587" s="242">
        <f>F587+G587+H587</f>
        <v>44.7</v>
      </c>
      <c r="F587" s="242">
        <v>5.1</v>
      </c>
      <c r="G587" s="242">
        <v>6.4</v>
      </c>
      <c r="H587" s="242">
        <v>33.2</v>
      </c>
      <c r="I587" s="243">
        <v>2289.5</v>
      </c>
      <c r="J587" s="242">
        <f>E587</f>
        <v>44.7</v>
      </c>
      <c r="K587" s="243">
        <v>2289.49</v>
      </c>
      <c r="L587" s="244">
        <f>J587/K587</f>
        <v>0.019523998794491352</v>
      </c>
      <c r="M587" s="245">
        <v>244.38</v>
      </c>
      <c r="N587" s="246">
        <f>L587*M587</f>
        <v>4.771274825397796</v>
      </c>
      <c r="O587" s="246">
        <f>L587*60*1000</f>
        <v>1171.4399276694812</v>
      </c>
      <c r="P587" s="247">
        <f>O587*M587/1000</f>
        <v>286.27648952386784</v>
      </c>
      <c r="R587" s="10"/>
      <c r="S587" s="10"/>
    </row>
    <row r="588" spans="1:19" s="9" customFormat="1" ht="12.75" customHeight="1">
      <c r="A588" s="273"/>
      <c r="B588" s="126" t="s">
        <v>265</v>
      </c>
      <c r="C588" s="127">
        <v>145</v>
      </c>
      <c r="D588" s="127">
        <v>1980</v>
      </c>
      <c r="E588" s="128">
        <v>205.705</v>
      </c>
      <c r="F588" s="128">
        <v>20.130409</v>
      </c>
      <c r="G588" s="128">
        <v>22.88</v>
      </c>
      <c r="H588" s="128">
        <v>162.694591</v>
      </c>
      <c r="I588" s="129">
        <v>8328.31</v>
      </c>
      <c r="J588" s="128">
        <v>162.694585</v>
      </c>
      <c r="K588" s="129">
        <v>8328.31</v>
      </c>
      <c r="L588" s="130">
        <f>J588/K588</f>
        <v>0.019535125973937088</v>
      </c>
      <c r="M588" s="127">
        <v>298.66</v>
      </c>
      <c r="N588" s="131">
        <f>L588*M588</f>
        <v>5.834360723376051</v>
      </c>
      <c r="O588" s="131">
        <f>L588*60*1000</f>
        <v>1172.1075584362252</v>
      </c>
      <c r="P588" s="132">
        <f>O588*M588/1000</f>
        <v>350.06164340256305</v>
      </c>
      <c r="R588" s="10"/>
      <c r="S588" s="10"/>
    </row>
    <row r="589" spans="1:19" s="9" customFormat="1" ht="12.75" customHeight="1">
      <c r="A589" s="273"/>
      <c r="B589" s="152" t="s">
        <v>581</v>
      </c>
      <c r="C589" s="97">
        <v>48</v>
      </c>
      <c r="D589" s="97">
        <v>1960</v>
      </c>
      <c r="E589" s="153">
        <v>43.94744</v>
      </c>
      <c r="F589" s="153">
        <v>5.61</v>
      </c>
      <c r="G589" s="153">
        <v>0.48</v>
      </c>
      <c r="H589" s="153">
        <f>E589-F589-G589</f>
        <v>37.857440000000004</v>
      </c>
      <c r="I589" s="155">
        <v>1937.45</v>
      </c>
      <c r="J589" s="153">
        <f>H589</f>
        <v>37.857440000000004</v>
      </c>
      <c r="K589" s="155">
        <f>I589</f>
        <v>1937.45</v>
      </c>
      <c r="L589" s="157">
        <f>J589/K589</f>
        <v>0.019539828124596766</v>
      </c>
      <c r="M589" s="183">
        <v>279.5</v>
      </c>
      <c r="N589" s="159">
        <f>L589*M589</f>
        <v>5.461381960824796</v>
      </c>
      <c r="O589" s="159">
        <f>L589*60*1000</f>
        <v>1172.3896874758059</v>
      </c>
      <c r="P589" s="161">
        <f>O589*M589/1000</f>
        <v>327.6829176494877</v>
      </c>
      <c r="R589" s="10"/>
      <c r="S589" s="10"/>
    </row>
    <row r="590" spans="1:19" s="9" customFormat="1" ht="12.75" customHeight="1">
      <c r="A590" s="273"/>
      <c r="B590" s="126" t="s">
        <v>333</v>
      </c>
      <c r="C590" s="127">
        <v>27</v>
      </c>
      <c r="D590" s="127">
        <v>1978</v>
      </c>
      <c r="E590" s="128">
        <f>SUM(F590:H590)</f>
        <v>33.711998</v>
      </c>
      <c r="F590" s="128">
        <v>2.8998</v>
      </c>
      <c r="G590" s="128">
        <v>3.865</v>
      </c>
      <c r="H590" s="128">
        <v>26.947198</v>
      </c>
      <c r="I590" s="129">
        <v>1371.74</v>
      </c>
      <c r="J590" s="128">
        <v>26.947198</v>
      </c>
      <c r="K590" s="129">
        <v>1371.74</v>
      </c>
      <c r="L590" s="130">
        <f>J590/K590</f>
        <v>0.019644537594587896</v>
      </c>
      <c r="M590" s="131">
        <v>285.3</v>
      </c>
      <c r="N590" s="131">
        <f>L590*M590*1.09</f>
        <v>6.108999367552161</v>
      </c>
      <c r="O590" s="131">
        <f>L590*60*1000</f>
        <v>1178.6722556752738</v>
      </c>
      <c r="P590" s="132">
        <v>366.53996205312967</v>
      </c>
      <c r="Q590" s="11"/>
      <c r="R590" s="10"/>
      <c r="S590" s="10"/>
    </row>
    <row r="591" spans="1:19" s="9" customFormat="1" ht="12.75" customHeight="1">
      <c r="A591" s="273"/>
      <c r="B591" s="152" t="s">
        <v>281</v>
      </c>
      <c r="C591" s="97">
        <v>21</v>
      </c>
      <c r="D591" s="97">
        <v>1986</v>
      </c>
      <c r="E591" s="153">
        <v>27.658</v>
      </c>
      <c r="F591" s="153">
        <v>1.275</v>
      </c>
      <c r="G591" s="153">
        <v>3.52</v>
      </c>
      <c r="H591" s="153">
        <v>22.863</v>
      </c>
      <c r="I591" s="155">
        <v>1160.21</v>
      </c>
      <c r="J591" s="153">
        <v>21.62</v>
      </c>
      <c r="K591" s="155">
        <v>1097.3</v>
      </c>
      <c r="L591" s="157">
        <f>J591/K591</f>
        <v>0.019702907135696713</v>
      </c>
      <c r="M591" s="183">
        <v>338.118</v>
      </c>
      <c r="N591" s="159">
        <f>L591*M591</f>
        <v>6.6619075549075015</v>
      </c>
      <c r="O591" s="159">
        <f>L591*60*1000</f>
        <v>1182.1744281418028</v>
      </c>
      <c r="P591" s="161">
        <f>O591*M591/1000</f>
        <v>399.7144532944501</v>
      </c>
      <c r="R591" s="10"/>
      <c r="S591" s="10"/>
    </row>
    <row r="592" spans="1:19" s="9" customFormat="1" ht="12.75" customHeight="1">
      <c r="A592" s="273"/>
      <c r="B592" s="208" t="s">
        <v>241</v>
      </c>
      <c r="C592" s="267">
        <v>14</v>
      </c>
      <c r="D592" s="209">
        <v>1960</v>
      </c>
      <c r="E592" s="210">
        <v>13.329792000000001</v>
      </c>
      <c r="F592" s="211">
        <v>0.859452</v>
      </c>
      <c r="G592" s="211">
        <v>2.24</v>
      </c>
      <c r="H592" s="211">
        <v>10.23034</v>
      </c>
      <c r="I592" s="212">
        <v>913.0600000000001</v>
      </c>
      <c r="J592" s="211">
        <v>10.23034</v>
      </c>
      <c r="K592" s="212">
        <v>518.33</v>
      </c>
      <c r="L592" s="213">
        <v>0.01973711728049698</v>
      </c>
      <c r="M592" s="214">
        <v>314.574</v>
      </c>
      <c r="N592" s="215">
        <v>6.208783931395057</v>
      </c>
      <c r="O592" s="215">
        <v>1184.2270368298186</v>
      </c>
      <c r="P592" s="216">
        <v>372.5270358837034</v>
      </c>
      <c r="R592" s="10"/>
      <c r="S592" s="10"/>
    </row>
    <row r="593" spans="1:19" s="9" customFormat="1" ht="12.75" customHeight="1">
      <c r="A593" s="273"/>
      <c r="B593" s="152" t="s">
        <v>823</v>
      </c>
      <c r="C593" s="97">
        <v>5</v>
      </c>
      <c r="D593" s="97" t="s">
        <v>24</v>
      </c>
      <c r="E593" s="153">
        <v>8.6</v>
      </c>
      <c r="F593" s="153">
        <f>6.2*0.051</f>
        <v>0.3162</v>
      </c>
      <c r="G593" s="153">
        <f>11*0.16</f>
        <v>1.76</v>
      </c>
      <c r="H593" s="153">
        <f>+E593-F593-G593</f>
        <v>6.5238</v>
      </c>
      <c r="I593" s="231"/>
      <c r="J593" s="153">
        <f>+H593</f>
        <v>6.5238</v>
      </c>
      <c r="K593" s="155">
        <v>330.48</v>
      </c>
      <c r="L593" s="157">
        <f>J593/K593</f>
        <v>0.019740377632534493</v>
      </c>
      <c r="M593" s="183">
        <v>343.2</v>
      </c>
      <c r="N593" s="159">
        <f>L593*M593</f>
        <v>6.774897603485838</v>
      </c>
      <c r="O593" s="159">
        <f>L593*60*1000</f>
        <v>1184.4226579520696</v>
      </c>
      <c r="P593" s="161">
        <f>O593*M593/1000</f>
        <v>406.4938562091503</v>
      </c>
      <c r="R593" s="10"/>
      <c r="S593" s="10"/>
    </row>
    <row r="594" spans="1:19" s="9" customFormat="1" ht="12.75" customHeight="1">
      <c r="A594" s="273"/>
      <c r="B594" s="152" t="s">
        <v>539</v>
      </c>
      <c r="C594" s="97">
        <v>45</v>
      </c>
      <c r="D594" s="97">
        <v>1966</v>
      </c>
      <c r="E594" s="153">
        <v>47.9</v>
      </c>
      <c r="F594" s="153">
        <v>4.4</v>
      </c>
      <c r="G594" s="153">
        <v>6.9</v>
      </c>
      <c r="H594" s="153">
        <v>36.6</v>
      </c>
      <c r="I594" s="155">
        <v>1851</v>
      </c>
      <c r="J594" s="153">
        <v>36.6</v>
      </c>
      <c r="K594" s="155">
        <v>1851</v>
      </c>
      <c r="L594" s="157">
        <f>J594/K594</f>
        <v>0.019773095623987033</v>
      </c>
      <c r="M594" s="183">
        <v>250.6</v>
      </c>
      <c r="N594" s="159">
        <f>L594*M594</f>
        <v>4.95513776337115</v>
      </c>
      <c r="O594" s="159">
        <f>L594*60*1000</f>
        <v>1186.3857374392219</v>
      </c>
      <c r="P594" s="161">
        <f>O594*M594/1000</f>
        <v>297.308265802269</v>
      </c>
      <c r="R594" s="10"/>
      <c r="S594" s="10"/>
    </row>
    <row r="595" spans="1:19" s="9" customFormat="1" ht="12.75" customHeight="1">
      <c r="A595" s="273"/>
      <c r="B595" s="301" t="s">
        <v>1027</v>
      </c>
      <c r="C595" s="302">
        <v>10</v>
      </c>
      <c r="D595" s="303" t="s">
        <v>24</v>
      </c>
      <c r="E595" s="304">
        <v>14.11</v>
      </c>
      <c r="F595" s="304">
        <v>1.31</v>
      </c>
      <c r="G595" s="305">
        <v>1.76</v>
      </c>
      <c r="H595" s="304">
        <v>11.04</v>
      </c>
      <c r="I595" s="306">
        <v>552.99</v>
      </c>
      <c r="J595" s="304">
        <v>10.28</v>
      </c>
      <c r="K595" s="307">
        <v>519.54</v>
      </c>
      <c r="L595" s="157">
        <f>J595/K595</f>
        <v>0.019786734418909036</v>
      </c>
      <c r="M595" s="183">
        <v>269.2</v>
      </c>
      <c r="N595" s="159">
        <f>L595*M595</f>
        <v>5.326588905570312</v>
      </c>
      <c r="O595" s="159">
        <f>L595*60*1000</f>
        <v>1187.2040651345421</v>
      </c>
      <c r="P595" s="161">
        <f>O595*M595/1000</f>
        <v>319.5953343342187</v>
      </c>
      <c r="Q595" s="11"/>
      <c r="R595" s="10"/>
      <c r="S595" s="10"/>
    </row>
    <row r="596" spans="1:19" s="9" customFormat="1" ht="12.75" customHeight="1">
      <c r="A596" s="273"/>
      <c r="B596" s="152" t="s">
        <v>712</v>
      </c>
      <c r="C596" s="97">
        <v>20</v>
      </c>
      <c r="D596" s="97" t="s">
        <v>24</v>
      </c>
      <c r="E596" s="153">
        <v>23.56</v>
      </c>
      <c r="F596" s="153">
        <v>1.48</v>
      </c>
      <c r="G596" s="153">
        <v>3.2</v>
      </c>
      <c r="H596" s="153">
        <v>18.88</v>
      </c>
      <c r="I596" s="155">
        <v>954</v>
      </c>
      <c r="J596" s="153">
        <v>18.88</v>
      </c>
      <c r="K596" s="155">
        <v>954</v>
      </c>
      <c r="L596" s="157">
        <f>J596/K596</f>
        <v>0.019790356394129977</v>
      </c>
      <c r="M596" s="183">
        <v>234.2</v>
      </c>
      <c r="N596" s="159">
        <f>L596*M596</f>
        <v>4.63490146750524</v>
      </c>
      <c r="O596" s="159">
        <f>L596*60*1000</f>
        <v>1187.4213836477986</v>
      </c>
      <c r="P596" s="161">
        <f>O596*M596/1000</f>
        <v>278.0940880503144</v>
      </c>
      <c r="R596" s="10"/>
      <c r="S596" s="10"/>
    </row>
    <row r="597" spans="1:19" s="9" customFormat="1" ht="12.75" customHeight="1">
      <c r="A597" s="273"/>
      <c r="B597" s="152" t="s">
        <v>658</v>
      </c>
      <c r="C597" s="97">
        <v>24</v>
      </c>
      <c r="D597" s="97">
        <v>1965</v>
      </c>
      <c r="E597" s="153">
        <v>27.993002</v>
      </c>
      <c r="F597" s="153">
        <v>2.04</v>
      </c>
      <c r="G597" s="153">
        <v>3.84</v>
      </c>
      <c r="H597" s="153">
        <v>22.113002</v>
      </c>
      <c r="I597" s="155">
        <v>1116.83</v>
      </c>
      <c r="J597" s="153">
        <v>19.444188</v>
      </c>
      <c r="K597" s="155">
        <v>982.04</v>
      </c>
      <c r="L597" s="157">
        <f>J597/K597</f>
        <v>0.019799792269154008</v>
      </c>
      <c r="M597" s="183">
        <v>254.2</v>
      </c>
      <c r="N597" s="159">
        <f>L597*M597</f>
        <v>5.033107194818949</v>
      </c>
      <c r="O597" s="159">
        <f>L597*60*1000</f>
        <v>1187.9875361492404</v>
      </c>
      <c r="P597" s="161">
        <f>O597*M597/1000</f>
        <v>301.9864316891369</v>
      </c>
      <c r="R597" s="10"/>
      <c r="S597" s="10"/>
    </row>
    <row r="598" spans="1:19" s="9" customFormat="1" ht="12.75" customHeight="1">
      <c r="A598" s="273"/>
      <c r="B598" s="126" t="s">
        <v>729</v>
      </c>
      <c r="C598" s="127">
        <v>3</v>
      </c>
      <c r="D598" s="127" t="s">
        <v>24</v>
      </c>
      <c r="E598" s="128">
        <f>F598+G598+H598</f>
        <v>4.221</v>
      </c>
      <c r="F598" s="128">
        <v>0.5045</v>
      </c>
      <c r="G598" s="128">
        <v>0.48</v>
      </c>
      <c r="H598" s="128">
        <v>3.2365</v>
      </c>
      <c r="I598" s="129">
        <v>163.32</v>
      </c>
      <c r="J598" s="128">
        <v>3.2365</v>
      </c>
      <c r="K598" s="129">
        <v>163.32</v>
      </c>
      <c r="L598" s="130">
        <f>J598/K598</f>
        <v>0.019816923830516777</v>
      </c>
      <c r="M598" s="131">
        <v>210</v>
      </c>
      <c r="N598" s="131">
        <f>L598*M598</f>
        <v>4.161554004408523</v>
      </c>
      <c r="O598" s="131">
        <f>L598*1000*60</f>
        <v>1189.0154298310067</v>
      </c>
      <c r="P598" s="132">
        <f>N598*60</f>
        <v>249.6932402645114</v>
      </c>
      <c r="Q598" s="11"/>
      <c r="R598" s="10"/>
      <c r="S598" s="10"/>
    </row>
    <row r="599" spans="1:19" s="9" customFormat="1" ht="12.75" customHeight="1">
      <c r="A599" s="273"/>
      <c r="B599" s="108" t="s">
        <v>614</v>
      </c>
      <c r="C599" s="97">
        <v>31</v>
      </c>
      <c r="D599" s="97">
        <v>1981</v>
      </c>
      <c r="E599" s="153">
        <v>38.07</v>
      </c>
      <c r="F599" s="153">
        <v>3.377</v>
      </c>
      <c r="G599" s="153">
        <v>4.8</v>
      </c>
      <c r="H599" s="153">
        <v>29.893</v>
      </c>
      <c r="I599" s="183">
        <v>1508.3</v>
      </c>
      <c r="J599" s="153">
        <v>29.893</v>
      </c>
      <c r="K599" s="183">
        <v>1508.3</v>
      </c>
      <c r="L599" s="157">
        <f>J599/K599</f>
        <v>0.019819001524895578</v>
      </c>
      <c r="M599" s="183">
        <v>302.3</v>
      </c>
      <c r="N599" s="159">
        <f>L599*M599</f>
        <v>5.991284160975933</v>
      </c>
      <c r="O599" s="159">
        <f>L599*60*1000</f>
        <v>1189.1400914937346</v>
      </c>
      <c r="P599" s="161">
        <f>O599*M599/1000</f>
        <v>359.477049658556</v>
      </c>
      <c r="Q599" s="11"/>
      <c r="R599" s="10"/>
      <c r="S599" s="10"/>
    </row>
    <row r="600" spans="1:19" s="9" customFormat="1" ht="12.75" customHeight="1">
      <c r="A600" s="273"/>
      <c r="B600" s="152" t="s">
        <v>432</v>
      </c>
      <c r="C600" s="97">
        <v>47</v>
      </c>
      <c r="D600" s="97">
        <v>1980</v>
      </c>
      <c r="E600" s="153">
        <v>31.171996</v>
      </c>
      <c r="F600" s="153">
        <v>0</v>
      </c>
      <c r="G600" s="153">
        <v>0</v>
      </c>
      <c r="H600" s="153">
        <v>31.171996</v>
      </c>
      <c r="I600" s="155">
        <v>1572.62</v>
      </c>
      <c r="J600" s="153">
        <v>31.171996</v>
      </c>
      <c r="K600" s="155">
        <v>1572.62</v>
      </c>
      <c r="L600" s="157">
        <f>J600/K600</f>
        <v>0.01982169627754957</v>
      </c>
      <c r="M600" s="183">
        <v>254.2</v>
      </c>
      <c r="N600" s="159">
        <f>L600*M600</f>
        <v>5.0386751937531</v>
      </c>
      <c r="O600" s="159">
        <f>L600*60*1000</f>
        <v>1189.301776652974</v>
      </c>
      <c r="P600" s="161">
        <f>O600*M600/1000</f>
        <v>302.320511625186</v>
      </c>
      <c r="R600" s="10"/>
      <c r="S600" s="10"/>
    </row>
    <row r="601" spans="1:19" s="9" customFormat="1" ht="12.75" customHeight="1">
      <c r="A601" s="273"/>
      <c r="B601" s="152" t="s">
        <v>659</v>
      </c>
      <c r="C601" s="97">
        <v>9</v>
      </c>
      <c r="D601" s="97">
        <v>1968</v>
      </c>
      <c r="E601" s="153">
        <v>10.129999</v>
      </c>
      <c r="F601" s="153">
        <v>0.51</v>
      </c>
      <c r="G601" s="153">
        <v>1.44</v>
      </c>
      <c r="H601" s="153">
        <v>8.179999</v>
      </c>
      <c r="I601" s="155">
        <v>412.22</v>
      </c>
      <c r="J601" s="153">
        <v>8.179999</v>
      </c>
      <c r="K601" s="155">
        <v>412.22</v>
      </c>
      <c r="L601" s="157">
        <f>J601/K601</f>
        <v>0.019843770316821115</v>
      </c>
      <c r="M601" s="183">
        <v>254.2</v>
      </c>
      <c r="N601" s="159">
        <f>L601*M601</f>
        <v>5.044286414535927</v>
      </c>
      <c r="O601" s="159">
        <f>L601*60*1000</f>
        <v>1190.6262190092668</v>
      </c>
      <c r="P601" s="161">
        <f>O601*M601/1000</f>
        <v>302.6571848721556</v>
      </c>
      <c r="R601" s="10"/>
      <c r="S601" s="10"/>
    </row>
    <row r="602" spans="1:19" s="9" customFormat="1" ht="12.75" customHeight="1">
      <c r="A602" s="273"/>
      <c r="B602" s="126" t="s">
        <v>67</v>
      </c>
      <c r="C602" s="127">
        <v>54</v>
      </c>
      <c r="D602" s="127">
        <v>1987</v>
      </c>
      <c r="E602" s="128">
        <v>56.99</v>
      </c>
      <c r="F602" s="128">
        <v>5.3</v>
      </c>
      <c r="G602" s="128">
        <v>8.4</v>
      </c>
      <c r="H602" s="128">
        <f>E602-F602-G602</f>
        <v>43.290000000000006</v>
      </c>
      <c r="I602" s="129">
        <v>2177.6</v>
      </c>
      <c r="J602" s="128">
        <f>H602/I602*K602</f>
        <v>43.297951873622345</v>
      </c>
      <c r="K602" s="127">
        <v>2178</v>
      </c>
      <c r="L602" s="130">
        <f>J602/K602</f>
        <v>0.0198796840558413</v>
      </c>
      <c r="M602" s="140">
        <f>294.4*1.09</f>
        <v>320.896</v>
      </c>
      <c r="N602" s="131">
        <f>L602*M602</f>
        <v>6.379311094783249</v>
      </c>
      <c r="O602" s="131">
        <f>L602*60*1000</f>
        <v>1192.781043350478</v>
      </c>
      <c r="P602" s="132">
        <f>O602*M602/1000</f>
        <v>382.758665686995</v>
      </c>
      <c r="R602" s="10"/>
      <c r="S602" s="10"/>
    </row>
    <row r="603" spans="1:19" s="9" customFormat="1" ht="12.75" customHeight="1">
      <c r="A603" s="273"/>
      <c r="B603" s="152" t="s">
        <v>582</v>
      </c>
      <c r="C603" s="97">
        <v>48</v>
      </c>
      <c r="D603" s="97">
        <v>1962</v>
      </c>
      <c r="E603" s="153">
        <v>44.89432</v>
      </c>
      <c r="F603" s="153">
        <v>5.94903</v>
      </c>
      <c r="G603" s="153">
        <v>0.48</v>
      </c>
      <c r="H603" s="153">
        <f>E603-F603-G603</f>
        <v>38.46529</v>
      </c>
      <c r="I603" s="155">
        <v>1933.93</v>
      </c>
      <c r="J603" s="153">
        <f>H603</f>
        <v>38.46529</v>
      </c>
      <c r="K603" s="155">
        <f>I603</f>
        <v>1933.93</v>
      </c>
      <c r="L603" s="157">
        <f>J603/K603</f>
        <v>0.019889701281845775</v>
      </c>
      <c r="M603" s="183">
        <v>279.5</v>
      </c>
      <c r="N603" s="159">
        <f>L603*M603</f>
        <v>5.559171508275894</v>
      </c>
      <c r="O603" s="159">
        <f>L603*60*1000</f>
        <v>1193.3820769107465</v>
      </c>
      <c r="P603" s="161">
        <f>O603*M603/1000</f>
        <v>333.55029049655366</v>
      </c>
      <c r="Q603" s="11"/>
      <c r="R603" s="10"/>
      <c r="S603" s="10"/>
    </row>
    <row r="604" spans="1:19" s="9" customFormat="1" ht="12.75" customHeight="1">
      <c r="A604" s="273"/>
      <c r="B604" s="241" t="s">
        <v>920</v>
      </c>
      <c r="C604" s="97">
        <v>40</v>
      </c>
      <c r="D604" s="97">
        <v>1993</v>
      </c>
      <c r="E604" s="242">
        <f>F604+G604+H604</f>
        <v>43.5</v>
      </c>
      <c r="F604" s="242">
        <v>3</v>
      </c>
      <c r="G604" s="242">
        <v>6.4</v>
      </c>
      <c r="H604" s="242">
        <v>34.1</v>
      </c>
      <c r="I604" s="243">
        <v>2173.9</v>
      </c>
      <c r="J604" s="242">
        <f>E604</f>
        <v>43.5</v>
      </c>
      <c r="K604" s="243">
        <v>2173.87</v>
      </c>
      <c r="L604" s="244">
        <f>J604/K604</f>
        <v>0.020010396205844876</v>
      </c>
      <c r="M604" s="245">
        <v>244.38</v>
      </c>
      <c r="N604" s="246">
        <f>L604*M604</f>
        <v>4.890140624784371</v>
      </c>
      <c r="O604" s="246">
        <f>L604*60*1000</f>
        <v>1200.6237723506924</v>
      </c>
      <c r="P604" s="247">
        <f>O604*M604/1000</f>
        <v>293.4084374870622</v>
      </c>
      <c r="R604" s="10"/>
      <c r="S604" s="10"/>
    </row>
    <row r="605" spans="1:19" s="9" customFormat="1" ht="12.75" customHeight="1">
      <c r="A605" s="273"/>
      <c r="B605" s="126" t="s">
        <v>247</v>
      </c>
      <c r="C605" s="127">
        <v>5</v>
      </c>
      <c r="D605" s="127" t="s">
        <v>24</v>
      </c>
      <c r="E605" s="128">
        <f>F605+G605+H605</f>
        <v>6.880000000000001</v>
      </c>
      <c r="F605" s="128">
        <v>0.3195</v>
      </c>
      <c r="G605" s="128">
        <v>0.8</v>
      </c>
      <c r="H605" s="128">
        <v>5.7605</v>
      </c>
      <c r="I605" s="129">
        <v>287.6</v>
      </c>
      <c r="J605" s="128">
        <v>5.7605</v>
      </c>
      <c r="K605" s="129">
        <v>287.6</v>
      </c>
      <c r="L605" s="130">
        <f>J605/K605</f>
        <v>0.020029554937413072</v>
      </c>
      <c r="M605" s="131">
        <v>210</v>
      </c>
      <c r="N605" s="131">
        <f>L605*M605</f>
        <v>4.206206536856746</v>
      </c>
      <c r="O605" s="131">
        <f>L605*1000*60</f>
        <v>1201.7732962447842</v>
      </c>
      <c r="P605" s="132">
        <f>N605*60</f>
        <v>252.37239221140473</v>
      </c>
      <c r="R605" s="10"/>
      <c r="S605" s="10"/>
    </row>
    <row r="606" spans="1:19" s="9" customFormat="1" ht="12.75" customHeight="1">
      <c r="A606" s="273"/>
      <c r="B606" s="108" t="s">
        <v>615</v>
      </c>
      <c r="C606" s="97">
        <v>45</v>
      </c>
      <c r="D606" s="97">
        <v>1960</v>
      </c>
      <c r="E606" s="153">
        <v>42.781</v>
      </c>
      <c r="F606" s="153">
        <v>3.876</v>
      </c>
      <c r="G606" s="153">
        <v>0.44</v>
      </c>
      <c r="H606" s="153">
        <v>38.465</v>
      </c>
      <c r="I606" s="183">
        <v>1919.38</v>
      </c>
      <c r="J606" s="153">
        <v>38.465</v>
      </c>
      <c r="K606" s="183">
        <v>1919.38</v>
      </c>
      <c r="L606" s="157">
        <f>J606/K606</f>
        <v>0.020040325521783076</v>
      </c>
      <c r="M606" s="183">
        <v>302.3</v>
      </c>
      <c r="N606" s="159">
        <f>L606*M606</f>
        <v>6.058190405235024</v>
      </c>
      <c r="O606" s="159">
        <f>L606*60*1000</f>
        <v>1202.4195313069845</v>
      </c>
      <c r="P606" s="161">
        <f>O606*M606/1000</f>
        <v>363.4914243141014</v>
      </c>
      <c r="R606" s="10"/>
      <c r="S606" s="10"/>
    </row>
    <row r="607" spans="1:19" s="9" customFormat="1" ht="12.75" customHeight="1">
      <c r="A607" s="273"/>
      <c r="B607" s="152" t="s">
        <v>946</v>
      </c>
      <c r="C607" s="97">
        <v>20</v>
      </c>
      <c r="D607" s="97">
        <v>1977</v>
      </c>
      <c r="E607" s="153">
        <v>25.73</v>
      </c>
      <c r="F607" s="153">
        <v>1.295</v>
      </c>
      <c r="G607" s="153">
        <v>3.2</v>
      </c>
      <c r="H607" s="153">
        <v>21.235</v>
      </c>
      <c r="I607" s="155">
        <v>1058.99</v>
      </c>
      <c r="J607" s="153">
        <v>21.235</v>
      </c>
      <c r="K607" s="155">
        <v>1058.99</v>
      </c>
      <c r="L607" s="157">
        <f>J607/K607</f>
        <v>0.020052125138103286</v>
      </c>
      <c r="M607" s="183">
        <v>201.868</v>
      </c>
      <c r="N607" s="159">
        <f>L607*M607</f>
        <v>4.047882397378634</v>
      </c>
      <c r="O607" s="159">
        <f>L607*60*1000</f>
        <v>1203.127508286197</v>
      </c>
      <c r="P607" s="161">
        <f>O607*M607/1000</f>
        <v>242.87294384271803</v>
      </c>
      <c r="Q607" s="11"/>
      <c r="R607" s="10"/>
      <c r="S607" s="10"/>
    </row>
    <row r="608" spans="1:19" s="9" customFormat="1" ht="12.75" customHeight="1">
      <c r="A608" s="273"/>
      <c r="B608" s="208" t="s">
        <v>674</v>
      </c>
      <c r="C608" s="267">
        <v>36</v>
      </c>
      <c r="D608" s="209">
        <v>1970</v>
      </c>
      <c r="E608" s="210">
        <v>38.958</v>
      </c>
      <c r="F608" s="211">
        <v>2.04</v>
      </c>
      <c r="G608" s="211">
        <v>5.76</v>
      </c>
      <c r="H608" s="211">
        <v>31.158</v>
      </c>
      <c r="I608" s="212">
        <v>1553.75</v>
      </c>
      <c r="J608" s="211">
        <v>31.158</v>
      </c>
      <c r="K608" s="212">
        <v>1553.75</v>
      </c>
      <c r="L608" s="213">
        <v>0.020053419147224458</v>
      </c>
      <c r="M608" s="214">
        <v>314.574</v>
      </c>
      <c r="N608" s="215">
        <v>6.308284274818987</v>
      </c>
      <c r="O608" s="215">
        <v>1203.2051488334673</v>
      </c>
      <c r="P608" s="216">
        <v>378.49705648913914</v>
      </c>
      <c r="R608" s="10"/>
      <c r="S608" s="10"/>
    </row>
    <row r="609" spans="1:19" s="9" customFormat="1" ht="12.75" customHeight="1">
      <c r="A609" s="273"/>
      <c r="B609" s="152" t="s">
        <v>525</v>
      </c>
      <c r="C609" s="97">
        <v>9</v>
      </c>
      <c r="D609" s="97" t="s">
        <v>24</v>
      </c>
      <c r="E609" s="153">
        <v>12.5</v>
      </c>
      <c r="F609" s="153">
        <f>14*0.051</f>
        <v>0.714</v>
      </c>
      <c r="G609" s="153">
        <f>9*0.16</f>
        <v>1.44</v>
      </c>
      <c r="H609" s="153">
        <f>+E609-F609-G609</f>
        <v>10.346</v>
      </c>
      <c r="I609" s="231"/>
      <c r="J609" s="153">
        <f>+H609</f>
        <v>10.346</v>
      </c>
      <c r="K609" s="155">
        <v>515.76</v>
      </c>
      <c r="L609" s="157">
        <f>J609/K609</f>
        <v>0.02005971769815418</v>
      </c>
      <c r="M609" s="183">
        <v>343.2</v>
      </c>
      <c r="N609" s="159">
        <f>L609*M609</f>
        <v>6.884495114006515</v>
      </c>
      <c r="O609" s="159">
        <f>L609*60*1000</f>
        <v>1203.583061889251</v>
      </c>
      <c r="P609" s="161">
        <f>O609*M609/1000</f>
        <v>413.06970684039095</v>
      </c>
      <c r="R609" s="10"/>
      <c r="S609" s="10"/>
    </row>
    <row r="610" spans="1:19" s="9" customFormat="1" ht="12.75" customHeight="1">
      <c r="A610" s="273"/>
      <c r="B610" s="152" t="s">
        <v>968</v>
      </c>
      <c r="C610" s="97">
        <v>36</v>
      </c>
      <c r="D610" s="97">
        <v>1970</v>
      </c>
      <c r="E610" s="153">
        <v>40.277</v>
      </c>
      <c r="F610" s="153">
        <v>3.61</v>
      </c>
      <c r="G610" s="153">
        <v>5.76</v>
      </c>
      <c r="H610" s="153">
        <v>30.907</v>
      </c>
      <c r="I610" s="155">
        <v>1538.01</v>
      </c>
      <c r="J610" s="153">
        <v>28.85</v>
      </c>
      <c r="K610" s="155">
        <v>1435.64</v>
      </c>
      <c r="L610" s="157">
        <f>J610/K610</f>
        <v>0.020095567133821848</v>
      </c>
      <c r="M610" s="183">
        <v>298.987</v>
      </c>
      <c r="N610" s="159">
        <f>L610*M610</f>
        <v>6.008313330639993</v>
      </c>
      <c r="O610" s="159">
        <f>L610*60*1000</f>
        <v>1205.734028029311</v>
      </c>
      <c r="P610" s="161">
        <f>O610*M610/1000</f>
        <v>360.49879983839963</v>
      </c>
      <c r="R610" s="10"/>
      <c r="S610" s="10"/>
    </row>
    <row r="611" spans="1:19" s="9" customFormat="1" ht="12.75" customHeight="1">
      <c r="A611" s="273"/>
      <c r="B611" s="152" t="s">
        <v>868</v>
      </c>
      <c r="C611" s="97">
        <v>9</v>
      </c>
      <c r="D611" s="97">
        <v>1990</v>
      </c>
      <c r="E611" s="153">
        <f>F611+G611+H611</f>
        <v>11.482001</v>
      </c>
      <c r="F611" s="153">
        <v>0.708092</v>
      </c>
      <c r="G611" s="153">
        <v>1.444</v>
      </c>
      <c r="H611" s="153">
        <v>9.329909</v>
      </c>
      <c r="I611" s="155">
        <v>464.1</v>
      </c>
      <c r="J611" s="153">
        <f>H611</f>
        <v>9.329909</v>
      </c>
      <c r="K611" s="155">
        <f>I611</f>
        <v>464.1</v>
      </c>
      <c r="L611" s="157">
        <f>J611/K611</f>
        <v>0.020103229907347555</v>
      </c>
      <c r="M611" s="183">
        <v>349.12</v>
      </c>
      <c r="N611" s="159">
        <f>L611*M611</f>
        <v>7.018439625253179</v>
      </c>
      <c r="O611" s="159">
        <f>L611*60*1000</f>
        <v>1206.1937944408535</v>
      </c>
      <c r="P611" s="161">
        <f>O611*M611/1000</f>
        <v>421.10637751519073</v>
      </c>
      <c r="R611" s="10"/>
      <c r="S611" s="10"/>
    </row>
    <row r="612" spans="1:19" s="9" customFormat="1" ht="12.75" customHeight="1">
      <c r="A612" s="273"/>
      <c r="B612" s="152" t="s">
        <v>542</v>
      </c>
      <c r="C612" s="97">
        <v>13</v>
      </c>
      <c r="D612" s="97">
        <v>1985</v>
      </c>
      <c r="E612" s="153">
        <v>13.6</v>
      </c>
      <c r="F612" s="153">
        <v>0.9</v>
      </c>
      <c r="G612" s="153">
        <v>1.9</v>
      </c>
      <c r="H612" s="153">
        <v>10.8</v>
      </c>
      <c r="I612" s="155">
        <v>537</v>
      </c>
      <c r="J612" s="153">
        <v>10.8</v>
      </c>
      <c r="K612" s="155">
        <v>537</v>
      </c>
      <c r="L612" s="157">
        <f>J612/K612</f>
        <v>0.02011173184357542</v>
      </c>
      <c r="M612" s="183">
        <v>250.6</v>
      </c>
      <c r="N612" s="159">
        <f>L612*M612</f>
        <v>5.04</v>
      </c>
      <c r="O612" s="159">
        <f>L612*60*1000</f>
        <v>1206.7039106145253</v>
      </c>
      <c r="P612" s="161">
        <f>O612*M612/1000</f>
        <v>302.40000000000003</v>
      </c>
      <c r="R612" s="10"/>
      <c r="S612" s="10"/>
    </row>
    <row r="613" spans="1:19" s="9" customFormat="1" ht="12.75" customHeight="1">
      <c r="A613" s="273"/>
      <c r="B613" s="152" t="s">
        <v>283</v>
      </c>
      <c r="C613" s="97">
        <v>12</v>
      </c>
      <c r="D613" s="97">
        <v>1980</v>
      </c>
      <c r="E613" s="153">
        <v>14.446</v>
      </c>
      <c r="F613" s="153">
        <v>0.765</v>
      </c>
      <c r="G613" s="153">
        <v>1.92</v>
      </c>
      <c r="H613" s="153">
        <v>11.761</v>
      </c>
      <c r="I613" s="155">
        <v>584.73</v>
      </c>
      <c r="J613" s="153">
        <v>11.761</v>
      </c>
      <c r="K613" s="155">
        <v>584.73</v>
      </c>
      <c r="L613" s="157">
        <f>J613/K613</f>
        <v>0.020113556684281633</v>
      </c>
      <c r="M613" s="183">
        <v>338.118</v>
      </c>
      <c r="N613" s="159">
        <f>L613*M613</f>
        <v>6.800755558975937</v>
      </c>
      <c r="O613" s="159">
        <f>L613*60*1000</f>
        <v>1206.813401056898</v>
      </c>
      <c r="P613" s="161">
        <f>O613*M613/1000</f>
        <v>408.04533353855624</v>
      </c>
      <c r="R613" s="10"/>
      <c r="S613" s="10"/>
    </row>
    <row r="614" spans="1:16" s="9" customFormat="1" ht="12.75" customHeight="1">
      <c r="A614" s="273"/>
      <c r="B614" s="241" t="s">
        <v>921</v>
      </c>
      <c r="C614" s="97">
        <v>39</v>
      </c>
      <c r="D614" s="97">
        <v>1988</v>
      </c>
      <c r="E614" s="242">
        <f>F614+G614+H614</f>
        <v>45.8</v>
      </c>
      <c r="F614" s="242">
        <v>3.56</v>
      </c>
      <c r="G614" s="242">
        <v>6.24</v>
      </c>
      <c r="H614" s="242">
        <v>36</v>
      </c>
      <c r="I614" s="243">
        <v>2275.2</v>
      </c>
      <c r="J614" s="242">
        <f>E614</f>
        <v>45.8</v>
      </c>
      <c r="K614" s="243">
        <v>2275.19</v>
      </c>
      <c r="L614" s="244">
        <f>J614/K614</f>
        <v>0.020130186929443253</v>
      </c>
      <c r="M614" s="245">
        <v>244.38</v>
      </c>
      <c r="N614" s="246">
        <f>L614*M614</f>
        <v>4.919415081817342</v>
      </c>
      <c r="O614" s="246">
        <f>L614*60*1000</f>
        <v>1207.8112157665953</v>
      </c>
      <c r="P614" s="247">
        <f>O614*M614/1000</f>
        <v>295.16490490904056</v>
      </c>
    </row>
    <row r="615" spans="1:19" s="9" customFormat="1" ht="12.75" customHeight="1">
      <c r="A615" s="273"/>
      <c r="B615" s="126" t="s">
        <v>41</v>
      </c>
      <c r="C615" s="127">
        <v>72</v>
      </c>
      <c r="D615" s="127">
        <v>1980</v>
      </c>
      <c r="E615" s="128">
        <v>104.891</v>
      </c>
      <c r="F615" s="128">
        <v>10.23935</v>
      </c>
      <c r="G615" s="128">
        <v>11.52</v>
      </c>
      <c r="H615" s="128">
        <v>83.13165</v>
      </c>
      <c r="I615" s="129">
        <v>4129.55</v>
      </c>
      <c r="J615" s="128">
        <v>83.131661</v>
      </c>
      <c r="K615" s="129">
        <v>4129.55</v>
      </c>
      <c r="L615" s="130">
        <f>J615/K615</f>
        <v>0.020130924919180053</v>
      </c>
      <c r="M615" s="127">
        <v>298.66</v>
      </c>
      <c r="N615" s="131">
        <f>L615*M615</f>
        <v>6.012302036362315</v>
      </c>
      <c r="O615" s="131">
        <f>L615*60*1000</f>
        <v>1207.855495150803</v>
      </c>
      <c r="P615" s="132">
        <f>O615*M615/1000</f>
        <v>360.7381221817389</v>
      </c>
      <c r="R615" s="10"/>
      <c r="S615" s="10"/>
    </row>
    <row r="616" spans="1:19" s="9" customFormat="1" ht="12.75" customHeight="1">
      <c r="A616" s="273"/>
      <c r="B616" s="152" t="s">
        <v>869</v>
      </c>
      <c r="C616" s="97">
        <v>22</v>
      </c>
      <c r="D616" s="97">
        <v>1987</v>
      </c>
      <c r="E616" s="153">
        <f>F616+G616+H616</f>
        <v>26.847304</v>
      </c>
      <c r="F616" s="153">
        <v>1.647</v>
      </c>
      <c r="G616" s="153">
        <v>3.4</v>
      </c>
      <c r="H616" s="153">
        <v>21.800304</v>
      </c>
      <c r="I616" s="155">
        <v>1081.6</v>
      </c>
      <c r="J616" s="153">
        <f>H616</f>
        <v>21.800304</v>
      </c>
      <c r="K616" s="155">
        <f>I616</f>
        <v>1081.6</v>
      </c>
      <c r="L616" s="157">
        <f>J616/K616</f>
        <v>0.020155606508875743</v>
      </c>
      <c r="M616" s="183">
        <f>M615</f>
        <v>298.66</v>
      </c>
      <c r="N616" s="159">
        <f>L616*M616</f>
        <v>6.01967343994083</v>
      </c>
      <c r="O616" s="159">
        <f>L616*60*1000</f>
        <v>1209.3363905325446</v>
      </c>
      <c r="P616" s="161">
        <f>O616*M616/1000</f>
        <v>361.18040639644977</v>
      </c>
      <c r="R616" s="10"/>
      <c r="S616" s="10"/>
    </row>
    <row r="617" spans="1:19" s="9" customFormat="1" ht="12.75" customHeight="1">
      <c r="A617" s="273"/>
      <c r="B617" s="126" t="s">
        <v>150</v>
      </c>
      <c r="C617" s="127">
        <v>13</v>
      </c>
      <c r="D617" s="127">
        <v>1959</v>
      </c>
      <c r="E617" s="128">
        <f>SUM(F617:H617)</f>
        <v>11.347</v>
      </c>
      <c r="F617" s="128"/>
      <c r="G617" s="128"/>
      <c r="H617" s="128">
        <v>11.347</v>
      </c>
      <c r="I617" s="129">
        <v>562.28</v>
      </c>
      <c r="J617" s="128">
        <v>11.347</v>
      </c>
      <c r="K617" s="129">
        <v>562.28</v>
      </c>
      <c r="L617" s="130">
        <f>J617/K617</f>
        <v>0.020180337198548767</v>
      </c>
      <c r="M617" s="131">
        <v>285.3</v>
      </c>
      <c r="N617" s="131">
        <f>L617*M617*1.09</f>
        <v>6.275620720993101</v>
      </c>
      <c r="O617" s="131">
        <f>L617*60*1000</f>
        <v>1210.820231912926</v>
      </c>
      <c r="P617" s="132">
        <v>376.53724325958603</v>
      </c>
      <c r="R617" s="10"/>
      <c r="S617" s="10"/>
    </row>
    <row r="618" spans="1:19" s="9" customFormat="1" ht="12.75" customHeight="1">
      <c r="A618" s="273"/>
      <c r="B618" s="126" t="s">
        <v>34</v>
      </c>
      <c r="C618" s="127">
        <v>44</v>
      </c>
      <c r="D618" s="127" t="s">
        <v>24</v>
      </c>
      <c r="E618" s="128">
        <v>60.327</v>
      </c>
      <c r="F618" s="128">
        <v>6.1047</v>
      </c>
      <c r="G618" s="128">
        <v>7.04</v>
      </c>
      <c r="H618" s="128">
        <v>47.1823</v>
      </c>
      <c r="I618" s="129">
        <v>2337.92</v>
      </c>
      <c r="J618" s="128">
        <v>47.1823</v>
      </c>
      <c r="K618" s="129">
        <v>2337.92</v>
      </c>
      <c r="L618" s="130">
        <f>J618/K618</f>
        <v>0.020181315015056118</v>
      </c>
      <c r="M618" s="127">
        <v>298.66</v>
      </c>
      <c r="N618" s="131">
        <f>L618*M618</f>
        <v>6.02735154239666</v>
      </c>
      <c r="O618" s="131">
        <f>L618*60*1000</f>
        <v>1210.8789009033671</v>
      </c>
      <c r="P618" s="132">
        <f>O618*M618/1000</f>
        <v>361.6410925437997</v>
      </c>
      <c r="R618" s="10"/>
      <c r="S618" s="10"/>
    </row>
    <row r="619" spans="1:19" s="9" customFormat="1" ht="12.75" customHeight="1">
      <c r="A619" s="273"/>
      <c r="B619" s="241" t="s">
        <v>922</v>
      </c>
      <c r="C619" s="97">
        <v>40</v>
      </c>
      <c r="D619" s="97">
        <v>1983</v>
      </c>
      <c r="E619" s="242">
        <f>F619+G619+H619</f>
        <v>44.22</v>
      </c>
      <c r="F619" s="242">
        <v>3.99</v>
      </c>
      <c r="G619" s="242">
        <v>6.24</v>
      </c>
      <c r="H619" s="242">
        <v>33.99</v>
      </c>
      <c r="I619" s="243">
        <v>2268.94</v>
      </c>
      <c r="J619" s="242">
        <f>E619</f>
        <v>44.22</v>
      </c>
      <c r="K619" s="243">
        <v>2190.15</v>
      </c>
      <c r="L619" s="244">
        <f>J619/K619</f>
        <v>0.020190397917950825</v>
      </c>
      <c r="M619" s="245">
        <v>244.38</v>
      </c>
      <c r="N619" s="246">
        <f>L619*M619</f>
        <v>4.934129443188823</v>
      </c>
      <c r="O619" s="246">
        <f>L619*60*1000</f>
        <v>1211.4238750770494</v>
      </c>
      <c r="P619" s="247">
        <f>O619*M619/1000</f>
        <v>296.0477665913293</v>
      </c>
      <c r="R619" s="10"/>
      <c r="S619" s="10"/>
    </row>
    <row r="620" spans="1:19" s="9" customFormat="1" ht="12.75" customHeight="1">
      <c r="A620" s="273"/>
      <c r="B620" s="126" t="s">
        <v>730</v>
      </c>
      <c r="C620" s="127">
        <v>22</v>
      </c>
      <c r="D620" s="127" t="s">
        <v>24</v>
      </c>
      <c r="E620" s="128">
        <f>F620+G620+H620</f>
        <v>27.912</v>
      </c>
      <c r="F620" s="128">
        <v>2.001</v>
      </c>
      <c r="G620" s="128">
        <v>3.52</v>
      </c>
      <c r="H620" s="128">
        <v>22.391</v>
      </c>
      <c r="I620" s="129">
        <v>1107.86</v>
      </c>
      <c r="J620" s="128">
        <v>22.391</v>
      </c>
      <c r="K620" s="129">
        <v>1107.86</v>
      </c>
      <c r="L620" s="130">
        <f>J620/K620</f>
        <v>0.020211037495712455</v>
      </c>
      <c r="M620" s="131">
        <v>210</v>
      </c>
      <c r="N620" s="131">
        <f>L620*M620</f>
        <v>4.2443178740996155</v>
      </c>
      <c r="O620" s="131">
        <f>L620*1000*60</f>
        <v>1212.6622497427472</v>
      </c>
      <c r="P620" s="132">
        <f>N620*60</f>
        <v>254.65907244597693</v>
      </c>
      <c r="R620" s="10"/>
      <c r="S620" s="10"/>
    </row>
    <row r="621" spans="1:19" s="9" customFormat="1" ht="12.75" customHeight="1">
      <c r="A621" s="273"/>
      <c r="B621" s="126" t="s">
        <v>368</v>
      </c>
      <c r="C621" s="127">
        <v>20</v>
      </c>
      <c r="D621" s="127">
        <v>1994</v>
      </c>
      <c r="E621" s="128">
        <v>26.7</v>
      </c>
      <c r="F621" s="128">
        <v>1.28</v>
      </c>
      <c r="G621" s="128">
        <v>2.72</v>
      </c>
      <c r="H621" s="128">
        <f>E621-F621-G621</f>
        <v>22.7</v>
      </c>
      <c r="I621" s="129">
        <v>1120.86</v>
      </c>
      <c r="J621" s="128">
        <v>22.7</v>
      </c>
      <c r="K621" s="129">
        <v>1120.86</v>
      </c>
      <c r="L621" s="130">
        <f>J621/K621</f>
        <v>0.020252306264832362</v>
      </c>
      <c r="M621" s="131">
        <v>264.761</v>
      </c>
      <c r="N621" s="131">
        <f>L621*M621</f>
        <v>5.362020858983281</v>
      </c>
      <c r="O621" s="131">
        <f>L621*1000*60</f>
        <v>1215.1383758899417</v>
      </c>
      <c r="P621" s="132">
        <f>N621*60</f>
        <v>321.72125153899685</v>
      </c>
      <c r="R621" s="10"/>
      <c r="S621" s="10"/>
    </row>
    <row r="622" spans="1:19" s="9" customFormat="1" ht="12.75" customHeight="1">
      <c r="A622" s="273"/>
      <c r="B622" s="126" t="s">
        <v>144</v>
      </c>
      <c r="C622" s="127">
        <v>24</v>
      </c>
      <c r="D622" s="127">
        <v>1964</v>
      </c>
      <c r="E622" s="128">
        <f>SUM(F622:H622)</f>
        <v>22.354</v>
      </c>
      <c r="F622" s="128"/>
      <c r="G622" s="128"/>
      <c r="H622" s="128">
        <v>22.354</v>
      </c>
      <c r="I622" s="129">
        <v>1103</v>
      </c>
      <c r="J622" s="128">
        <v>22.354</v>
      </c>
      <c r="K622" s="129">
        <v>1103</v>
      </c>
      <c r="L622" s="130">
        <f>J622/K622</f>
        <v>0.02026654578422484</v>
      </c>
      <c r="M622" s="131">
        <v>285.3</v>
      </c>
      <c r="N622" s="131">
        <f>L622*M622*1.09</f>
        <v>6.30242960834089</v>
      </c>
      <c r="O622" s="131">
        <f>L622*60*1000</f>
        <v>1215.9927470534906</v>
      </c>
      <c r="P622" s="132">
        <v>378.1457765004534</v>
      </c>
      <c r="R622" s="10"/>
      <c r="S622" s="10"/>
    </row>
    <row r="623" spans="1:19" s="9" customFormat="1" ht="12.75" customHeight="1">
      <c r="A623" s="273"/>
      <c r="B623" s="126" t="s">
        <v>370</v>
      </c>
      <c r="C623" s="127">
        <v>15</v>
      </c>
      <c r="D623" s="127">
        <v>1992</v>
      </c>
      <c r="E623" s="128">
        <v>21.2</v>
      </c>
      <c r="F623" s="128">
        <v>1.39</v>
      </c>
      <c r="G623" s="128">
        <v>2.32</v>
      </c>
      <c r="H623" s="128">
        <f>E623-F623-G623</f>
        <v>17.49</v>
      </c>
      <c r="I623" s="129">
        <v>861.65</v>
      </c>
      <c r="J623" s="128">
        <v>17.49</v>
      </c>
      <c r="K623" s="129">
        <v>861.65</v>
      </c>
      <c r="L623" s="130">
        <f>J623/K623</f>
        <v>0.020298264956768987</v>
      </c>
      <c r="M623" s="131">
        <v>264.761</v>
      </c>
      <c r="N623" s="131">
        <f>L623*M623</f>
        <v>5.374188928219114</v>
      </c>
      <c r="O623" s="131">
        <f>L623*1000*60</f>
        <v>1217.895897406139</v>
      </c>
      <c r="P623" s="132">
        <f>N623*60</f>
        <v>322.45133569314686</v>
      </c>
      <c r="R623" s="10"/>
      <c r="S623" s="10"/>
    </row>
    <row r="624" spans="1:19" s="9" customFormat="1" ht="12.75" customHeight="1">
      <c r="A624" s="273"/>
      <c r="B624" s="152" t="s">
        <v>521</v>
      </c>
      <c r="C624" s="97">
        <v>4</v>
      </c>
      <c r="D624" s="97" t="s">
        <v>24</v>
      </c>
      <c r="E624" s="153">
        <v>3.74</v>
      </c>
      <c r="F624" s="153">
        <f>0*0.051</f>
        <v>0</v>
      </c>
      <c r="G624" s="153">
        <v>0</v>
      </c>
      <c r="H624" s="153">
        <f>+E624-F624-G624</f>
        <v>3.74</v>
      </c>
      <c r="I624" s="231"/>
      <c r="J624" s="153">
        <f>+H624</f>
        <v>3.74</v>
      </c>
      <c r="K624" s="155">
        <v>183.78</v>
      </c>
      <c r="L624" s="157">
        <f>J624/K624</f>
        <v>0.020350418979214278</v>
      </c>
      <c r="M624" s="183">
        <v>343.2</v>
      </c>
      <c r="N624" s="159">
        <f>L624*M624</f>
        <v>6.98426379366634</v>
      </c>
      <c r="O624" s="159">
        <f>L624*60*1000</f>
        <v>1221.0251387528565</v>
      </c>
      <c r="P624" s="161">
        <f>O624*M624/1000</f>
        <v>419.05582761998033</v>
      </c>
      <c r="R624" s="10"/>
      <c r="S624" s="10"/>
    </row>
    <row r="625" spans="1:16" s="9" customFormat="1" ht="12.75" customHeight="1">
      <c r="A625" s="273"/>
      <c r="B625" s="241" t="s">
        <v>923</v>
      </c>
      <c r="C625" s="97">
        <v>18</v>
      </c>
      <c r="D625" s="97">
        <v>1974</v>
      </c>
      <c r="E625" s="242">
        <f>F625+G625+H625</f>
        <v>16.509999999999998</v>
      </c>
      <c r="F625" s="242">
        <v>1.5</v>
      </c>
      <c r="G625" s="242"/>
      <c r="H625" s="242">
        <v>15.01</v>
      </c>
      <c r="I625" s="243">
        <v>808.66</v>
      </c>
      <c r="J625" s="242">
        <f>E625</f>
        <v>16.509999999999998</v>
      </c>
      <c r="K625" s="243">
        <v>808.66</v>
      </c>
      <c r="L625" s="244">
        <f>J625/K625</f>
        <v>0.020416491479731902</v>
      </c>
      <c r="M625" s="245">
        <v>244.38</v>
      </c>
      <c r="N625" s="246">
        <f>L625*M625</f>
        <v>4.989382187816882</v>
      </c>
      <c r="O625" s="246">
        <f>L625*60*1000</f>
        <v>1224.989488783914</v>
      </c>
      <c r="P625" s="247">
        <f>O625*M625/1000</f>
        <v>299.3629312690129</v>
      </c>
    </row>
    <row r="626" spans="1:19" s="9" customFormat="1" ht="12.75" customHeight="1">
      <c r="A626" s="273"/>
      <c r="B626" s="152" t="s">
        <v>433</v>
      </c>
      <c r="C626" s="97">
        <v>36</v>
      </c>
      <c r="D626" s="97">
        <v>1976</v>
      </c>
      <c r="E626" s="153">
        <v>30.742999</v>
      </c>
      <c r="F626" s="153">
        <v>0</v>
      </c>
      <c r="G626" s="153">
        <v>0</v>
      </c>
      <c r="H626" s="153">
        <v>30.742999</v>
      </c>
      <c r="I626" s="155">
        <v>1504.34</v>
      </c>
      <c r="J626" s="153">
        <v>30.742999</v>
      </c>
      <c r="K626" s="155">
        <v>1504.34</v>
      </c>
      <c r="L626" s="157">
        <f>J626/K626</f>
        <v>0.020436203916667776</v>
      </c>
      <c r="M626" s="183">
        <v>254.2</v>
      </c>
      <c r="N626" s="159">
        <f>L626*M626</f>
        <v>5.194883035616948</v>
      </c>
      <c r="O626" s="159">
        <f>L626*60*1000</f>
        <v>1226.1722350000666</v>
      </c>
      <c r="P626" s="161">
        <f>O626*M626/1000</f>
        <v>311.6929821370169</v>
      </c>
      <c r="R626" s="10"/>
      <c r="S626" s="10"/>
    </row>
    <row r="627" spans="1:19" s="9" customFormat="1" ht="12.75" customHeight="1">
      <c r="A627" s="273"/>
      <c r="B627" s="126" t="s">
        <v>63</v>
      </c>
      <c r="C627" s="127">
        <v>38</v>
      </c>
      <c r="D627" s="127">
        <v>1990</v>
      </c>
      <c r="E627" s="128">
        <v>54.13</v>
      </c>
      <c r="F627" s="128">
        <v>4.97</v>
      </c>
      <c r="G627" s="128">
        <v>5.84</v>
      </c>
      <c r="H627" s="128">
        <f>E627-F627-G627</f>
        <v>43.32000000000001</v>
      </c>
      <c r="I627" s="129">
        <v>2119.3</v>
      </c>
      <c r="J627" s="128">
        <f>H627/I627*K627</f>
        <v>43.313867786533294</v>
      </c>
      <c r="K627" s="127">
        <v>2119</v>
      </c>
      <c r="L627" s="130">
        <f>J627/K627</f>
        <v>0.020440711555702356</v>
      </c>
      <c r="M627" s="140">
        <f>294.4*1.09</f>
        <v>320.896</v>
      </c>
      <c r="N627" s="131">
        <f>L627*M627</f>
        <v>6.559342575378664</v>
      </c>
      <c r="O627" s="131">
        <f>L627*60*1000</f>
        <v>1226.4426933421412</v>
      </c>
      <c r="P627" s="132">
        <f>O627*M627/1000</f>
        <v>393.56055452271977</v>
      </c>
      <c r="R627" s="10"/>
      <c r="S627" s="10"/>
    </row>
    <row r="628" spans="1:19" s="9" customFormat="1" ht="12.75" customHeight="1">
      <c r="A628" s="273"/>
      <c r="B628" s="126" t="s">
        <v>731</v>
      </c>
      <c r="C628" s="127">
        <v>40</v>
      </c>
      <c r="D628" s="127" t="s">
        <v>24</v>
      </c>
      <c r="E628" s="128">
        <f>F628+G628+H628</f>
        <v>42.969800000000006</v>
      </c>
      <c r="F628" s="128">
        <v>2.5055</v>
      </c>
      <c r="G628" s="128">
        <v>6.4</v>
      </c>
      <c r="H628" s="128">
        <v>34.0643</v>
      </c>
      <c r="I628" s="129">
        <v>1664.79</v>
      </c>
      <c r="J628" s="128">
        <v>34.0643</v>
      </c>
      <c r="K628" s="129">
        <v>1664.79</v>
      </c>
      <c r="L628" s="130">
        <f>J628/K628</f>
        <v>0.020461619783876648</v>
      </c>
      <c r="M628" s="131">
        <v>210</v>
      </c>
      <c r="N628" s="131">
        <f>L628*M628</f>
        <v>4.296940154614096</v>
      </c>
      <c r="O628" s="131">
        <f>L628*1000*60</f>
        <v>1227.697187032599</v>
      </c>
      <c r="P628" s="132">
        <f>N628*60</f>
        <v>257.8164092768458</v>
      </c>
      <c r="R628" s="10"/>
      <c r="S628" s="10"/>
    </row>
    <row r="629" spans="1:19" s="9" customFormat="1" ht="12.75" customHeight="1">
      <c r="A629" s="273"/>
      <c r="B629" s="152" t="s">
        <v>969</v>
      </c>
      <c r="C629" s="97">
        <v>12</v>
      </c>
      <c r="D629" s="97">
        <v>1960</v>
      </c>
      <c r="E629" s="153">
        <v>14.276</v>
      </c>
      <c r="F629" s="153">
        <v>0.877</v>
      </c>
      <c r="G629" s="153">
        <v>1.92</v>
      </c>
      <c r="H629" s="153">
        <v>11.479</v>
      </c>
      <c r="I629" s="155">
        <v>560.48</v>
      </c>
      <c r="J629" s="153">
        <v>9.507</v>
      </c>
      <c r="K629" s="155">
        <v>464.19</v>
      </c>
      <c r="L629" s="157">
        <f>J629/K629</f>
        <v>0.020480837588056616</v>
      </c>
      <c r="M629" s="183">
        <v>298.987</v>
      </c>
      <c r="N629" s="159">
        <f>L629*M629</f>
        <v>6.123504187940283</v>
      </c>
      <c r="O629" s="159">
        <f>L629*60*1000</f>
        <v>1228.8502552833968</v>
      </c>
      <c r="P629" s="161">
        <f>O629*M629/1000</f>
        <v>367.410251276417</v>
      </c>
      <c r="R629" s="10"/>
      <c r="S629" s="10"/>
    </row>
    <row r="630" spans="1:19" s="9" customFormat="1" ht="12.75" customHeight="1">
      <c r="A630" s="273"/>
      <c r="B630" s="152" t="s">
        <v>713</v>
      </c>
      <c r="C630" s="97">
        <v>29</v>
      </c>
      <c r="D630" s="97" t="s">
        <v>24</v>
      </c>
      <c r="E630" s="153">
        <v>27</v>
      </c>
      <c r="F630" s="153">
        <v>0.3</v>
      </c>
      <c r="G630" s="153">
        <v>0.28</v>
      </c>
      <c r="H630" s="153">
        <v>26.42</v>
      </c>
      <c r="I630" s="155">
        <v>1289</v>
      </c>
      <c r="J630" s="153">
        <v>26.42</v>
      </c>
      <c r="K630" s="155">
        <v>1289</v>
      </c>
      <c r="L630" s="157">
        <f>J630/K630</f>
        <v>0.020496508921644688</v>
      </c>
      <c r="M630" s="183">
        <v>234.2</v>
      </c>
      <c r="N630" s="159">
        <f>L630*M630</f>
        <v>4.800282389449186</v>
      </c>
      <c r="O630" s="159">
        <f>L630*60*1000</f>
        <v>1229.7905352986813</v>
      </c>
      <c r="P630" s="161">
        <f>O630*M630/1000</f>
        <v>288.0169433669511</v>
      </c>
      <c r="R630" s="10"/>
      <c r="S630" s="10"/>
    </row>
    <row r="631" spans="1:19" s="9" customFormat="1" ht="12.75" customHeight="1">
      <c r="A631" s="273"/>
      <c r="B631" s="152" t="s">
        <v>111</v>
      </c>
      <c r="C631" s="97">
        <v>3</v>
      </c>
      <c r="D631" s="97">
        <v>1900</v>
      </c>
      <c r="E631" s="153">
        <v>12.972</v>
      </c>
      <c r="F631" s="153">
        <v>0.867</v>
      </c>
      <c r="G631" s="153">
        <v>1.92</v>
      </c>
      <c r="H631" s="153">
        <v>10.185</v>
      </c>
      <c r="I631" s="155">
        <v>558.26</v>
      </c>
      <c r="J631" s="153">
        <v>9.95</v>
      </c>
      <c r="K631" s="155">
        <v>485.29</v>
      </c>
      <c r="L631" s="157">
        <f>J631/K631</f>
        <v>0.020503204269611983</v>
      </c>
      <c r="M631" s="183">
        <v>338.118</v>
      </c>
      <c r="N631" s="159">
        <f>L631*M631</f>
        <v>6.932502421232664</v>
      </c>
      <c r="O631" s="159">
        <f>L631*60*1000</f>
        <v>1230.192256176719</v>
      </c>
      <c r="P631" s="161">
        <f>O631*M631/1000</f>
        <v>415.95014527395983</v>
      </c>
      <c r="R631" s="10"/>
      <c r="S631" s="10"/>
    </row>
    <row r="632" spans="1:19" s="9" customFormat="1" ht="12.75" customHeight="1">
      <c r="A632" s="273"/>
      <c r="B632" s="152" t="s">
        <v>435</v>
      </c>
      <c r="C632" s="97">
        <v>27</v>
      </c>
      <c r="D632" s="97">
        <v>1964</v>
      </c>
      <c r="E632" s="153">
        <v>27.702</v>
      </c>
      <c r="F632" s="153">
        <v>0.9945</v>
      </c>
      <c r="G632" s="153">
        <v>3.84</v>
      </c>
      <c r="H632" s="153">
        <v>22.8675</v>
      </c>
      <c r="I632" s="155">
        <v>1114.14</v>
      </c>
      <c r="J632" s="153">
        <v>19.584764</v>
      </c>
      <c r="K632" s="155">
        <v>954.2</v>
      </c>
      <c r="L632" s="157">
        <f>J632/K632</f>
        <v>0.020524799832320268</v>
      </c>
      <c r="M632" s="183">
        <v>254.2</v>
      </c>
      <c r="N632" s="159">
        <f>L632*M632</f>
        <v>5.217404117375812</v>
      </c>
      <c r="O632" s="159">
        <f>L632*60*1000</f>
        <v>1231.487989939216</v>
      </c>
      <c r="P632" s="161">
        <f>O632*M632/1000</f>
        <v>313.0442470425487</v>
      </c>
      <c r="R632" s="10"/>
      <c r="S632" s="10"/>
    </row>
    <row r="633" spans="1:19" s="9" customFormat="1" ht="12.75" customHeight="1">
      <c r="A633" s="273"/>
      <c r="B633" s="152" t="s">
        <v>824</v>
      </c>
      <c r="C633" s="97">
        <v>18</v>
      </c>
      <c r="D633" s="97" t="s">
        <v>24</v>
      </c>
      <c r="E633" s="153">
        <v>23</v>
      </c>
      <c r="F633" s="153">
        <f>30.5*0.051</f>
        <v>1.5554999999999999</v>
      </c>
      <c r="G633" s="153">
        <f>18*0.16</f>
        <v>2.88</v>
      </c>
      <c r="H633" s="153">
        <f>+E633-F633-G633</f>
        <v>18.564500000000002</v>
      </c>
      <c r="I633" s="231"/>
      <c r="J633" s="153">
        <f>+H633</f>
        <v>18.564500000000002</v>
      </c>
      <c r="K633" s="155">
        <v>902.28</v>
      </c>
      <c r="L633" s="157">
        <f>J633/K633</f>
        <v>0.020575098639003416</v>
      </c>
      <c r="M633" s="183">
        <v>343.2</v>
      </c>
      <c r="N633" s="159">
        <f>L633*M633</f>
        <v>7.061373852905972</v>
      </c>
      <c r="O633" s="159">
        <f>L633*60*1000</f>
        <v>1234.505918340205</v>
      </c>
      <c r="P633" s="161">
        <f>O633*M633/1000</f>
        <v>423.6824311743583</v>
      </c>
      <c r="R633" s="10"/>
      <c r="S633" s="10"/>
    </row>
    <row r="634" spans="1:19" s="9" customFormat="1" ht="12.75" customHeight="1">
      <c r="A634" s="273"/>
      <c r="B634" s="152" t="s">
        <v>583</v>
      </c>
      <c r="C634" s="97">
        <v>43</v>
      </c>
      <c r="D634" s="97">
        <v>1961</v>
      </c>
      <c r="E634" s="153">
        <v>28.55197</v>
      </c>
      <c r="F634" s="153">
        <v>3.01678</v>
      </c>
      <c r="G634" s="153">
        <v>0.32</v>
      </c>
      <c r="H634" s="153">
        <f>E634-F634-G634</f>
        <v>25.21519</v>
      </c>
      <c r="I634" s="155">
        <v>1225.32</v>
      </c>
      <c r="J634" s="153">
        <f>H634</f>
        <v>25.21519</v>
      </c>
      <c r="K634" s="155">
        <f>I634</f>
        <v>1225.32</v>
      </c>
      <c r="L634" s="157">
        <f>J634/K634</f>
        <v>0.020578452975549246</v>
      </c>
      <c r="M634" s="183">
        <v>279.5</v>
      </c>
      <c r="N634" s="159">
        <f>L634*M634</f>
        <v>5.751677606666014</v>
      </c>
      <c r="O634" s="159">
        <f>L634*60*1000</f>
        <v>1234.707178532955</v>
      </c>
      <c r="P634" s="161">
        <f>O634*M634/1000</f>
        <v>345.10065639996094</v>
      </c>
      <c r="R634" s="10"/>
      <c r="S634" s="10"/>
    </row>
    <row r="635" spans="1:19" s="9" customFormat="1" ht="12.75" customHeight="1">
      <c r="A635" s="273"/>
      <c r="B635" s="208" t="s">
        <v>445</v>
      </c>
      <c r="C635" s="267">
        <v>18</v>
      </c>
      <c r="D635" s="209">
        <v>1987</v>
      </c>
      <c r="E635" s="210">
        <v>27.619941000000004</v>
      </c>
      <c r="F635" s="211">
        <v>1.377</v>
      </c>
      <c r="G635" s="211">
        <v>2.88</v>
      </c>
      <c r="H635" s="211">
        <v>23.362941000000003</v>
      </c>
      <c r="I635" s="212">
        <v>1157.8700000000001</v>
      </c>
      <c r="J635" s="211">
        <v>23.362941000000003</v>
      </c>
      <c r="K635" s="212">
        <v>1134.7</v>
      </c>
      <c r="L635" s="213">
        <v>0.020589531153608884</v>
      </c>
      <c r="M635" s="214">
        <v>314.574</v>
      </c>
      <c r="N635" s="215">
        <v>6.476931173115362</v>
      </c>
      <c r="O635" s="215">
        <v>1235.371869216533</v>
      </c>
      <c r="P635" s="216">
        <v>388.6158703869217</v>
      </c>
      <c r="R635" s="10"/>
      <c r="S635" s="10"/>
    </row>
    <row r="636" spans="1:19" s="9" customFormat="1" ht="12.75" customHeight="1">
      <c r="A636" s="273"/>
      <c r="B636" s="152" t="s">
        <v>745</v>
      </c>
      <c r="C636" s="97">
        <v>20</v>
      </c>
      <c r="D636" s="97">
        <v>1984</v>
      </c>
      <c r="E636" s="153">
        <v>27.13</v>
      </c>
      <c r="F636" s="153">
        <v>2.55</v>
      </c>
      <c r="G636" s="153">
        <v>3.2</v>
      </c>
      <c r="H636" s="153">
        <v>21.4</v>
      </c>
      <c r="I636" s="231"/>
      <c r="J636" s="153">
        <f>H636</f>
        <v>21.4</v>
      </c>
      <c r="K636" s="155">
        <v>1039</v>
      </c>
      <c r="L636" s="157">
        <f>J636/K636</f>
        <v>0.020596727622714146</v>
      </c>
      <c r="M636" s="183">
        <v>187.69</v>
      </c>
      <c r="N636" s="159">
        <f>L636*M636</f>
        <v>3.865799807507218</v>
      </c>
      <c r="O636" s="159">
        <f>L636*60*1000</f>
        <v>1235.8036573628488</v>
      </c>
      <c r="P636" s="161">
        <f>O636*M636/1000</f>
        <v>231.94798845043306</v>
      </c>
      <c r="R636" s="10"/>
      <c r="S636" s="10"/>
    </row>
    <row r="637" spans="1:19" s="9" customFormat="1" ht="12.75" customHeight="1">
      <c r="A637" s="273"/>
      <c r="B637" s="126" t="s">
        <v>466</v>
      </c>
      <c r="C637" s="127">
        <v>6</v>
      </c>
      <c r="D637" s="127" t="s">
        <v>24</v>
      </c>
      <c r="E637" s="128">
        <f>F637+G637+H637</f>
        <v>5.715</v>
      </c>
      <c r="F637" s="128">
        <v>0.7006</v>
      </c>
      <c r="G637" s="128">
        <v>0.64</v>
      </c>
      <c r="H637" s="128">
        <v>4.3744</v>
      </c>
      <c r="I637" s="129">
        <v>212.08</v>
      </c>
      <c r="J637" s="128">
        <v>4.3744</v>
      </c>
      <c r="K637" s="129">
        <v>212.08</v>
      </c>
      <c r="L637" s="130">
        <f>J637/K637</f>
        <v>0.020626178800452658</v>
      </c>
      <c r="M637" s="131">
        <v>210</v>
      </c>
      <c r="N637" s="131">
        <f>L637*M637</f>
        <v>4.331497548095058</v>
      </c>
      <c r="O637" s="131">
        <f>L637*1000*60</f>
        <v>1237.5707280271595</v>
      </c>
      <c r="P637" s="132">
        <f>N637*60</f>
        <v>259.8898528857035</v>
      </c>
      <c r="R637" s="10"/>
      <c r="S637" s="10"/>
    </row>
    <row r="638" spans="1:19" s="9" customFormat="1" ht="12.75" customHeight="1">
      <c r="A638" s="273"/>
      <c r="B638" s="126" t="s">
        <v>43</v>
      </c>
      <c r="C638" s="127">
        <v>37</v>
      </c>
      <c r="D638" s="127">
        <v>1987</v>
      </c>
      <c r="E638" s="128">
        <v>54.13</v>
      </c>
      <c r="F638" s="128">
        <v>4.696121</v>
      </c>
      <c r="G638" s="128">
        <v>5.76</v>
      </c>
      <c r="H638" s="128">
        <v>43.673879</v>
      </c>
      <c r="I638" s="129">
        <v>2115.27</v>
      </c>
      <c r="J638" s="128">
        <v>43.673877</v>
      </c>
      <c r="K638" s="129">
        <v>2115.27</v>
      </c>
      <c r="L638" s="130">
        <f>J638/K638</f>
        <v>0.020646951453005997</v>
      </c>
      <c r="M638" s="127">
        <v>298.66</v>
      </c>
      <c r="N638" s="131">
        <f>L638*M638</f>
        <v>6.166418520954772</v>
      </c>
      <c r="O638" s="131">
        <f>L638*60*1000</f>
        <v>1238.81708718036</v>
      </c>
      <c r="P638" s="132">
        <f>O638*M638/1000</f>
        <v>369.98511125728635</v>
      </c>
      <c r="R638" s="10"/>
      <c r="S638" s="10"/>
    </row>
    <row r="639" spans="1:19" s="9" customFormat="1" ht="12.75" customHeight="1">
      <c r="A639" s="273"/>
      <c r="B639" s="126" t="s">
        <v>369</v>
      </c>
      <c r="C639" s="127">
        <v>60</v>
      </c>
      <c r="D639" s="127">
        <v>1985</v>
      </c>
      <c r="E639" s="128">
        <v>94.4</v>
      </c>
      <c r="F639" s="128">
        <v>5.71</v>
      </c>
      <c r="G639" s="128">
        <v>9.36</v>
      </c>
      <c r="H639" s="128">
        <f>E639-F639-G639</f>
        <v>79.33000000000001</v>
      </c>
      <c r="I639" s="129">
        <v>3839.55</v>
      </c>
      <c r="J639" s="128">
        <v>79.33</v>
      </c>
      <c r="K639" s="129">
        <v>3839.55</v>
      </c>
      <c r="L639" s="130">
        <f>J639/K639</f>
        <v>0.02066127540987876</v>
      </c>
      <c r="M639" s="131">
        <v>264.761</v>
      </c>
      <c r="N639" s="131">
        <f>L639*M639</f>
        <v>5.470299938794911</v>
      </c>
      <c r="O639" s="131">
        <f>L639*1000*60</f>
        <v>1239.6765245927254</v>
      </c>
      <c r="P639" s="132">
        <f>N639*60</f>
        <v>328.21799632769466</v>
      </c>
      <c r="R639" s="10"/>
      <c r="S639" s="10"/>
    </row>
    <row r="640" spans="1:19" s="9" customFormat="1" ht="12.75" customHeight="1">
      <c r="A640" s="273"/>
      <c r="B640" s="126" t="s">
        <v>464</v>
      </c>
      <c r="C640" s="127">
        <v>5</v>
      </c>
      <c r="D640" s="127" t="s">
        <v>24</v>
      </c>
      <c r="E640" s="128">
        <f>F640+G640+H640</f>
        <v>4.003</v>
      </c>
      <c r="F640" s="128">
        <v>0.2298</v>
      </c>
      <c r="G640" s="128">
        <v>0.48</v>
      </c>
      <c r="H640" s="128">
        <v>3.2932</v>
      </c>
      <c r="I640" s="129">
        <v>159.37</v>
      </c>
      <c r="J640" s="128">
        <v>3.2932</v>
      </c>
      <c r="K640" s="129">
        <v>159.37</v>
      </c>
      <c r="L640" s="130">
        <f>J640/K640</f>
        <v>0.020663863964359666</v>
      </c>
      <c r="M640" s="131">
        <v>210</v>
      </c>
      <c r="N640" s="131">
        <f>L640*M640</f>
        <v>4.33941143251553</v>
      </c>
      <c r="O640" s="131">
        <f>L640*1000*60</f>
        <v>1239.83183786158</v>
      </c>
      <c r="P640" s="132">
        <f>N640*60</f>
        <v>260.3646859509318</v>
      </c>
      <c r="R640" s="10"/>
      <c r="S640" s="10"/>
    </row>
    <row r="641" spans="1:19" s="9" customFormat="1" ht="12.75" customHeight="1">
      <c r="A641" s="273"/>
      <c r="B641" s="152" t="s">
        <v>110</v>
      </c>
      <c r="C641" s="97">
        <v>12</v>
      </c>
      <c r="D641" s="97">
        <v>1980</v>
      </c>
      <c r="E641" s="153">
        <v>12.054</v>
      </c>
      <c r="F641" s="153">
        <v>0.459</v>
      </c>
      <c r="G641" s="153">
        <v>1.6</v>
      </c>
      <c r="H641" s="153">
        <v>9.995</v>
      </c>
      <c r="I641" s="155">
        <v>587.63</v>
      </c>
      <c r="J641" s="153">
        <v>9.69</v>
      </c>
      <c r="K641" s="155">
        <v>468.68</v>
      </c>
      <c r="L641" s="157">
        <f>J641/K641</f>
        <v>0.020675087479730306</v>
      </c>
      <c r="M641" s="183">
        <v>338.118</v>
      </c>
      <c r="N641" s="159">
        <f>L641*M641</f>
        <v>6.990619228471451</v>
      </c>
      <c r="O641" s="159">
        <f>L641*60*1000</f>
        <v>1240.5052487838184</v>
      </c>
      <c r="P641" s="161">
        <f>O641*M641/1000</f>
        <v>419.4371537082871</v>
      </c>
      <c r="R641" s="39"/>
      <c r="S641" s="10"/>
    </row>
    <row r="642" spans="1:19" s="9" customFormat="1" ht="12.75" customHeight="1">
      <c r="A642" s="273"/>
      <c r="B642" s="152" t="s">
        <v>456</v>
      </c>
      <c r="C642" s="97">
        <v>12</v>
      </c>
      <c r="D642" s="97" t="s">
        <v>24</v>
      </c>
      <c r="E642" s="153">
        <v>13.53</v>
      </c>
      <c r="F642" s="153">
        <v>0.41</v>
      </c>
      <c r="G642" s="153">
        <v>1.92</v>
      </c>
      <c r="H642" s="153">
        <v>11.2</v>
      </c>
      <c r="I642" s="155">
        <v>540</v>
      </c>
      <c r="J642" s="153">
        <v>11.2</v>
      </c>
      <c r="K642" s="155">
        <v>540</v>
      </c>
      <c r="L642" s="157">
        <f>J642/K642</f>
        <v>0.02074074074074074</v>
      </c>
      <c r="M642" s="183">
        <v>234.2</v>
      </c>
      <c r="N642" s="159">
        <f>L642*M642</f>
        <v>4.857481481481481</v>
      </c>
      <c r="O642" s="159">
        <f>L642*60*1000</f>
        <v>1244.4444444444446</v>
      </c>
      <c r="P642" s="161">
        <f>O642*M642/1000</f>
        <v>291.44888888888886</v>
      </c>
      <c r="R642" s="10"/>
      <c r="S642" s="10"/>
    </row>
    <row r="643" spans="1:19" s="9" customFormat="1" ht="12.75" customHeight="1">
      <c r="A643" s="273"/>
      <c r="B643" s="126" t="s">
        <v>224</v>
      </c>
      <c r="C643" s="262">
        <v>12</v>
      </c>
      <c r="D643" s="127" t="s">
        <v>24</v>
      </c>
      <c r="E643" s="128">
        <f>F643+G643+H643</f>
        <v>12.406</v>
      </c>
      <c r="F643" s="128">
        <v>1.4069</v>
      </c>
      <c r="G643" s="128">
        <v>0</v>
      </c>
      <c r="H643" s="128">
        <v>10.9991</v>
      </c>
      <c r="I643" s="129">
        <v>529.6</v>
      </c>
      <c r="J643" s="128">
        <v>10.9991</v>
      </c>
      <c r="K643" s="129">
        <v>529.6</v>
      </c>
      <c r="L643" s="130">
        <f>J643/K643</f>
        <v>0.02076869335347432</v>
      </c>
      <c r="M643" s="131">
        <v>210</v>
      </c>
      <c r="N643" s="131">
        <f>L643*M643</f>
        <v>4.361425604229607</v>
      </c>
      <c r="O643" s="131">
        <f>L643*1000*60</f>
        <v>1246.1216012084592</v>
      </c>
      <c r="P643" s="132">
        <f>N643*60</f>
        <v>261.68553625377643</v>
      </c>
      <c r="R643" s="10"/>
      <c r="S643" s="10"/>
    </row>
    <row r="644" spans="1:19" s="9" customFormat="1" ht="12.75" customHeight="1">
      <c r="A644" s="273"/>
      <c r="B644" s="208" t="s">
        <v>326</v>
      </c>
      <c r="C644" s="267">
        <v>14</v>
      </c>
      <c r="D644" s="209">
        <v>1968</v>
      </c>
      <c r="E644" s="210">
        <v>10.695069000000002</v>
      </c>
      <c r="F644" s="211">
        <v>0</v>
      </c>
      <c r="G644" s="211">
        <v>0</v>
      </c>
      <c r="H644" s="211">
        <v>10.695069000000002</v>
      </c>
      <c r="I644" s="212">
        <v>1020.08</v>
      </c>
      <c r="J644" s="211">
        <v>10.695069000000002</v>
      </c>
      <c r="K644" s="212">
        <v>514.91</v>
      </c>
      <c r="L644" s="213">
        <v>0.020770754112369158</v>
      </c>
      <c r="M644" s="214">
        <v>314.574</v>
      </c>
      <c r="N644" s="215">
        <v>6.533939204144416</v>
      </c>
      <c r="O644" s="215">
        <v>1246.2452467421494</v>
      </c>
      <c r="P644" s="216">
        <v>392.03635224866497</v>
      </c>
      <c r="R644" s="10"/>
      <c r="S644" s="10"/>
    </row>
    <row r="645" spans="1:25" s="9" customFormat="1" ht="12.75" customHeight="1">
      <c r="A645" s="273"/>
      <c r="B645" s="152" t="s">
        <v>746</v>
      </c>
      <c r="C645" s="97">
        <v>36</v>
      </c>
      <c r="D645" s="97">
        <v>1986</v>
      </c>
      <c r="E645" s="153">
        <v>52.64</v>
      </c>
      <c r="F645" s="153">
        <v>3.77</v>
      </c>
      <c r="G645" s="153">
        <v>5.76</v>
      </c>
      <c r="H645" s="153">
        <v>43.1</v>
      </c>
      <c r="I645" s="231"/>
      <c r="J645" s="153">
        <f>H645</f>
        <v>43.1</v>
      </c>
      <c r="K645" s="155">
        <v>2075</v>
      </c>
      <c r="L645" s="157">
        <f>J645/K645</f>
        <v>0.020771084337349397</v>
      </c>
      <c r="M645" s="183">
        <v>187.69</v>
      </c>
      <c r="N645" s="159">
        <f>L645*M645</f>
        <v>3.8985248192771085</v>
      </c>
      <c r="O645" s="159">
        <f>L645*60*1000</f>
        <v>1246.2650602409637</v>
      </c>
      <c r="P645" s="161">
        <f>O645*M645/1000</f>
        <v>233.9114891566265</v>
      </c>
      <c r="Q645" s="10"/>
      <c r="R645" s="10"/>
      <c r="S645" s="10"/>
      <c r="T645" s="12"/>
      <c r="U645" s="13"/>
      <c r="V645" s="13"/>
      <c r="X645" s="14"/>
      <c r="Y645" s="14"/>
    </row>
    <row r="646" spans="1:19" s="9" customFormat="1" ht="12.75" customHeight="1">
      <c r="A646" s="273"/>
      <c r="B646" s="152" t="s">
        <v>220</v>
      </c>
      <c r="C646" s="97">
        <v>44</v>
      </c>
      <c r="D646" s="97" t="s">
        <v>24</v>
      </c>
      <c r="E646" s="153">
        <v>38.97</v>
      </c>
      <c r="F646" s="153">
        <v>0</v>
      </c>
      <c r="G646" s="153">
        <v>0</v>
      </c>
      <c r="H646" s="153">
        <v>38.97</v>
      </c>
      <c r="I646" s="155">
        <v>1876</v>
      </c>
      <c r="J646" s="153">
        <v>38.97</v>
      </c>
      <c r="K646" s="155">
        <v>1876</v>
      </c>
      <c r="L646" s="157">
        <f>J646/K646</f>
        <v>0.020772921108742005</v>
      </c>
      <c r="M646" s="183">
        <v>234.2</v>
      </c>
      <c r="N646" s="159">
        <f>L646*M646</f>
        <v>4.865018123667377</v>
      </c>
      <c r="O646" s="159">
        <f>L646*60*1000</f>
        <v>1246.3752665245202</v>
      </c>
      <c r="P646" s="161">
        <f>O646*M646/1000</f>
        <v>291.9010874200426</v>
      </c>
      <c r="R646" s="10"/>
      <c r="S646" s="10"/>
    </row>
    <row r="647" spans="1:19" s="9" customFormat="1" ht="12.75" customHeight="1">
      <c r="A647" s="273"/>
      <c r="B647" s="152" t="s">
        <v>524</v>
      </c>
      <c r="C647" s="97">
        <v>7</v>
      </c>
      <c r="D647" s="97" t="s">
        <v>24</v>
      </c>
      <c r="E647" s="153">
        <v>10.1</v>
      </c>
      <c r="F647" s="153">
        <f>17.75*0.051</f>
        <v>0.9052499999999999</v>
      </c>
      <c r="G647" s="153">
        <f>7*0.16</f>
        <v>1.12</v>
      </c>
      <c r="H647" s="153">
        <f>+E647-F647-G647</f>
        <v>8.074749999999998</v>
      </c>
      <c r="I647" s="231"/>
      <c r="J647" s="153">
        <f>+H647</f>
        <v>8.074749999999998</v>
      </c>
      <c r="K647" s="155">
        <v>387.52</v>
      </c>
      <c r="L647" s="157">
        <f>J647/K647</f>
        <v>0.020836989058629227</v>
      </c>
      <c r="M647" s="183">
        <v>343.2</v>
      </c>
      <c r="N647" s="159">
        <f>L647*M647</f>
        <v>7.151254644921551</v>
      </c>
      <c r="O647" s="159">
        <f>L647*60*1000</f>
        <v>1250.2193435177535</v>
      </c>
      <c r="P647" s="161">
        <f>O647*M647/1000</f>
        <v>429.075278695293</v>
      </c>
      <c r="R647" s="10"/>
      <c r="S647" s="10"/>
    </row>
    <row r="648" spans="1:19" s="9" customFormat="1" ht="12.75" customHeight="1">
      <c r="A648" s="273"/>
      <c r="B648" s="152" t="s">
        <v>970</v>
      </c>
      <c r="C648" s="97">
        <v>4</v>
      </c>
      <c r="D648" s="97">
        <v>1950</v>
      </c>
      <c r="E648" s="153">
        <v>5.287</v>
      </c>
      <c r="F648" s="153">
        <v>0.616</v>
      </c>
      <c r="G648" s="153">
        <v>0.64</v>
      </c>
      <c r="H648" s="153">
        <v>4.031</v>
      </c>
      <c r="I648" s="155">
        <v>193.31</v>
      </c>
      <c r="J648" s="153">
        <v>4.031</v>
      </c>
      <c r="K648" s="155">
        <v>193.31</v>
      </c>
      <c r="L648" s="157">
        <f>J648/K648</f>
        <v>0.020852516683047953</v>
      </c>
      <c r="M648" s="183">
        <v>298.987</v>
      </c>
      <c r="N648" s="159">
        <f>L648*M648</f>
        <v>6.234631405514459</v>
      </c>
      <c r="O648" s="159">
        <f>L648*60*1000</f>
        <v>1251.1510009828773</v>
      </c>
      <c r="P648" s="161">
        <f>O648*M648/1000</f>
        <v>374.07788433086756</v>
      </c>
      <c r="R648" s="10"/>
      <c r="S648" s="10"/>
    </row>
    <row r="649" spans="1:19" s="9" customFormat="1" ht="12.75" customHeight="1">
      <c r="A649" s="273"/>
      <c r="B649" s="152" t="s">
        <v>440</v>
      </c>
      <c r="C649" s="97">
        <v>7</v>
      </c>
      <c r="D649" s="97">
        <v>1942</v>
      </c>
      <c r="E649" s="153">
        <f>F649+G649+H649</f>
        <v>5.86</v>
      </c>
      <c r="F649" s="153">
        <v>0</v>
      </c>
      <c r="G649" s="153">
        <v>0</v>
      </c>
      <c r="H649" s="153">
        <v>5.86</v>
      </c>
      <c r="I649" s="155">
        <v>280.84</v>
      </c>
      <c r="J649" s="153">
        <v>5.86</v>
      </c>
      <c r="K649" s="155">
        <v>280.84</v>
      </c>
      <c r="L649" s="157">
        <f>J649/K649</f>
        <v>0.02086597350804729</v>
      </c>
      <c r="M649" s="183">
        <v>314.4</v>
      </c>
      <c r="N649" s="159">
        <f>L649*M649</f>
        <v>6.560262070930068</v>
      </c>
      <c r="O649" s="159">
        <f>L649*60*1000</f>
        <v>1251.9584104828375</v>
      </c>
      <c r="P649" s="161">
        <f>O649*M649/1000</f>
        <v>393.6157242558041</v>
      </c>
      <c r="R649" s="10"/>
      <c r="S649" s="10"/>
    </row>
    <row r="650" spans="1:19" s="9" customFormat="1" ht="12.75" customHeight="1">
      <c r="A650" s="273"/>
      <c r="B650" s="208" t="s">
        <v>327</v>
      </c>
      <c r="C650" s="267">
        <v>4</v>
      </c>
      <c r="D650" s="209">
        <v>1955</v>
      </c>
      <c r="E650" s="210">
        <v>5.801462</v>
      </c>
      <c r="F650" s="211">
        <v>0.306</v>
      </c>
      <c r="G650" s="211">
        <v>0.64</v>
      </c>
      <c r="H650" s="211">
        <v>4.855462</v>
      </c>
      <c r="I650" s="212">
        <v>294.16</v>
      </c>
      <c r="J650" s="211">
        <v>4.855462</v>
      </c>
      <c r="K650" s="212">
        <v>232.43</v>
      </c>
      <c r="L650" s="213">
        <v>0.020889996988340577</v>
      </c>
      <c r="M650" s="214">
        <v>314.574</v>
      </c>
      <c r="N650" s="215">
        <v>6.571449912610249</v>
      </c>
      <c r="O650" s="215">
        <v>1253.3998193004345</v>
      </c>
      <c r="P650" s="216">
        <v>394.2869947566149</v>
      </c>
      <c r="R650" s="10"/>
      <c r="S650" s="10"/>
    </row>
    <row r="651" spans="1:19" s="9" customFormat="1" ht="12.75" customHeight="1">
      <c r="A651" s="273"/>
      <c r="B651" s="152" t="s">
        <v>546</v>
      </c>
      <c r="C651" s="97">
        <v>12</v>
      </c>
      <c r="D651" s="97">
        <v>1963</v>
      </c>
      <c r="E651" s="153">
        <v>11.1</v>
      </c>
      <c r="F651" s="153"/>
      <c r="G651" s="153"/>
      <c r="H651" s="153">
        <v>11.1</v>
      </c>
      <c r="I651" s="155">
        <v>531</v>
      </c>
      <c r="J651" s="153">
        <v>11.1</v>
      </c>
      <c r="K651" s="155">
        <v>531</v>
      </c>
      <c r="L651" s="157">
        <f>J651/K651</f>
        <v>0.020903954802259886</v>
      </c>
      <c r="M651" s="183">
        <v>250.6</v>
      </c>
      <c r="N651" s="159">
        <f>L651*M651</f>
        <v>5.238531073446327</v>
      </c>
      <c r="O651" s="159">
        <f>L651*60*1000</f>
        <v>1254.2372881355932</v>
      </c>
      <c r="P651" s="161">
        <f>O651*M651/1000</f>
        <v>314.31186440677965</v>
      </c>
      <c r="R651" s="10"/>
      <c r="S651" s="10"/>
    </row>
    <row r="652" spans="1:19" s="9" customFormat="1" ht="12.75" customHeight="1">
      <c r="A652" s="273"/>
      <c r="B652" s="152" t="s">
        <v>848</v>
      </c>
      <c r="C652" s="97">
        <v>8</v>
      </c>
      <c r="D652" s="97" t="s">
        <v>24</v>
      </c>
      <c r="E652" s="153">
        <v>8.44</v>
      </c>
      <c r="F652" s="153">
        <v>0.943</v>
      </c>
      <c r="G652" s="153">
        <v>0.08</v>
      </c>
      <c r="H652" s="153">
        <v>7.417</v>
      </c>
      <c r="I652" s="260" t="s">
        <v>838</v>
      </c>
      <c r="J652" s="153">
        <v>7.417</v>
      </c>
      <c r="K652" s="155">
        <v>354.58</v>
      </c>
      <c r="L652" s="157">
        <f>J652/K652</f>
        <v>0.02091770545434035</v>
      </c>
      <c r="M652" s="183">
        <v>346.4</v>
      </c>
      <c r="N652" s="159">
        <f>L652*M652</f>
        <v>7.245893169383496</v>
      </c>
      <c r="O652" s="159">
        <f>L652*60*1000</f>
        <v>1255.062327260421</v>
      </c>
      <c r="P652" s="161">
        <f>O652*M652/1000</f>
        <v>434.7535901630098</v>
      </c>
      <c r="R652" s="10"/>
      <c r="S652" s="10"/>
    </row>
    <row r="653" spans="1:19" s="9" customFormat="1" ht="12.75" customHeight="1">
      <c r="A653" s="273"/>
      <c r="B653" s="152" t="s">
        <v>971</v>
      </c>
      <c r="C653" s="97">
        <v>12</v>
      </c>
      <c r="D653" s="97">
        <v>1965</v>
      </c>
      <c r="E653" s="153">
        <v>11.885</v>
      </c>
      <c r="F653" s="153">
        <v>0.613</v>
      </c>
      <c r="G653" s="153">
        <v>0.192</v>
      </c>
      <c r="H653" s="153">
        <v>11.08</v>
      </c>
      <c r="I653" s="155">
        <v>529.58</v>
      </c>
      <c r="J653" s="153">
        <v>10.042</v>
      </c>
      <c r="K653" s="155">
        <v>479.98</v>
      </c>
      <c r="L653" s="157">
        <f>J653/K653</f>
        <v>0.020921705071044627</v>
      </c>
      <c r="M653" s="183">
        <v>298.987</v>
      </c>
      <c r="N653" s="159">
        <f>L653*M653</f>
        <v>6.25531783407642</v>
      </c>
      <c r="O653" s="159">
        <f>L653*60*1000</f>
        <v>1255.3023042626776</v>
      </c>
      <c r="P653" s="161">
        <f>O653*M653/1000</f>
        <v>375.3190700445852</v>
      </c>
      <c r="R653" s="10"/>
      <c r="S653" s="10"/>
    </row>
    <row r="654" spans="1:19" s="9" customFormat="1" ht="12.75" customHeight="1">
      <c r="A654" s="273"/>
      <c r="B654" s="152" t="s">
        <v>205</v>
      </c>
      <c r="C654" s="97">
        <v>67</v>
      </c>
      <c r="D654" s="97">
        <v>1970</v>
      </c>
      <c r="E654" s="153">
        <f>F654+G654+H654</f>
        <v>63.3</v>
      </c>
      <c r="F654" s="153">
        <v>0</v>
      </c>
      <c r="G654" s="153">
        <v>0</v>
      </c>
      <c r="H654" s="153">
        <v>63.3</v>
      </c>
      <c r="I654" s="155">
        <v>3022.05</v>
      </c>
      <c r="J654" s="153">
        <v>63.3</v>
      </c>
      <c r="K654" s="155">
        <v>3022.05</v>
      </c>
      <c r="L654" s="157">
        <f>J654/K654</f>
        <v>0.020946046557800167</v>
      </c>
      <c r="M654" s="183">
        <v>314.4</v>
      </c>
      <c r="N654" s="159">
        <f>L654*M654</f>
        <v>6.585437037772372</v>
      </c>
      <c r="O654" s="159">
        <f>L654*60*1000</f>
        <v>1256.76279346801</v>
      </c>
      <c r="P654" s="161">
        <f>O654*M654/1000</f>
        <v>395.1262222663423</v>
      </c>
      <c r="Q654" s="11"/>
      <c r="R654" s="10"/>
      <c r="S654" s="10"/>
    </row>
    <row r="655" spans="1:19" s="9" customFormat="1" ht="12.75" customHeight="1">
      <c r="A655" s="273"/>
      <c r="B655" s="152" t="s">
        <v>257</v>
      </c>
      <c r="C655" s="97">
        <v>4</v>
      </c>
      <c r="D655" s="97" t="s">
        <v>24</v>
      </c>
      <c r="E655" s="153">
        <v>4.4</v>
      </c>
      <c r="F655" s="153">
        <f>3.8*0.051</f>
        <v>0.19379999999999997</v>
      </c>
      <c r="G655" s="153">
        <f>0.334-F655</f>
        <v>0.14020000000000005</v>
      </c>
      <c r="H655" s="153">
        <f>+E655-F655-G655</f>
        <v>4.066000000000001</v>
      </c>
      <c r="I655" s="231"/>
      <c r="J655" s="153">
        <f>+H655</f>
        <v>4.066000000000001</v>
      </c>
      <c r="K655" s="155">
        <v>193.93</v>
      </c>
      <c r="L655" s="157">
        <f>J655/K655</f>
        <v>0.02096632805651524</v>
      </c>
      <c r="M655" s="183">
        <v>343.2</v>
      </c>
      <c r="N655" s="159">
        <f>L655*M655</f>
        <v>7.19564378899603</v>
      </c>
      <c r="O655" s="159">
        <f>L655*60*1000</f>
        <v>1257.9796833909145</v>
      </c>
      <c r="P655" s="161">
        <f>O655*M655/1000</f>
        <v>431.7386273397618</v>
      </c>
      <c r="R655" s="10"/>
      <c r="S655" s="10"/>
    </row>
    <row r="656" spans="1:19" s="9" customFormat="1" ht="12.75" customHeight="1">
      <c r="A656" s="273"/>
      <c r="B656" s="152" t="s">
        <v>434</v>
      </c>
      <c r="C656" s="97">
        <v>16</v>
      </c>
      <c r="D656" s="97">
        <v>1958</v>
      </c>
      <c r="E656" s="153">
        <v>16.474001</v>
      </c>
      <c r="F656" s="153">
        <v>0.459</v>
      </c>
      <c r="G656" s="153">
        <v>1.45</v>
      </c>
      <c r="H656" s="153">
        <v>14.565001</v>
      </c>
      <c r="I656" s="155">
        <v>693.99</v>
      </c>
      <c r="J656" s="153">
        <v>5.502459</v>
      </c>
      <c r="K656" s="155">
        <v>262.18</v>
      </c>
      <c r="L656" s="157">
        <f>J656/K656</f>
        <v>0.02098733312991075</v>
      </c>
      <c r="M656" s="183">
        <v>254.2</v>
      </c>
      <c r="N656" s="159">
        <f>L656*M656</f>
        <v>5.334980081623312</v>
      </c>
      <c r="O656" s="159">
        <f>L656*60*1000</f>
        <v>1259.239987794645</v>
      </c>
      <c r="P656" s="161">
        <f>O656*M656/1000</f>
        <v>320.09880489739874</v>
      </c>
      <c r="R656" s="10"/>
      <c r="S656" s="10"/>
    </row>
    <row r="657" spans="1:22" s="9" customFormat="1" ht="12.75" customHeight="1">
      <c r="A657" s="273"/>
      <c r="B657" s="152" t="s">
        <v>665</v>
      </c>
      <c r="C657" s="97">
        <v>29</v>
      </c>
      <c r="D657" s="97">
        <v>1962</v>
      </c>
      <c r="E657" s="153">
        <f>F657+G657+H657</f>
        <v>26.76</v>
      </c>
      <c r="F657" s="153">
        <v>0</v>
      </c>
      <c r="G657" s="153">
        <v>0</v>
      </c>
      <c r="H657" s="153">
        <v>26.76</v>
      </c>
      <c r="I657" s="155">
        <v>1326.36</v>
      </c>
      <c r="J657" s="153">
        <v>26.76</v>
      </c>
      <c r="K657" s="155">
        <v>1271.96</v>
      </c>
      <c r="L657" s="157">
        <f>J657/K657</f>
        <v>0.02103839743388157</v>
      </c>
      <c r="M657" s="183">
        <v>314.4</v>
      </c>
      <c r="N657" s="159">
        <f>L657*M657</f>
        <v>6.614472153212365</v>
      </c>
      <c r="O657" s="159">
        <f>L657*60*1000</f>
        <v>1262.3038460328942</v>
      </c>
      <c r="P657" s="161">
        <f>O657*M657/1000</f>
        <v>396.8683291927419</v>
      </c>
      <c r="Q657" s="10"/>
      <c r="R657" s="10"/>
      <c r="S657" s="10"/>
      <c r="T657" s="12"/>
      <c r="U657" s="13"/>
      <c r="V657" s="13"/>
    </row>
    <row r="658" spans="1:19" s="9" customFormat="1" ht="12.75" customHeight="1">
      <c r="A658" s="273"/>
      <c r="B658" s="152" t="s">
        <v>972</v>
      </c>
      <c r="C658" s="97">
        <v>8</v>
      </c>
      <c r="D658" s="97">
        <v>1936</v>
      </c>
      <c r="E658" s="153">
        <v>5.132</v>
      </c>
      <c r="F658" s="153">
        <v>0.808</v>
      </c>
      <c r="G658" s="153">
        <v>0.272</v>
      </c>
      <c r="H658" s="153">
        <v>4.052</v>
      </c>
      <c r="I658" s="155">
        <v>192.55</v>
      </c>
      <c r="J658" s="153">
        <v>4.052</v>
      </c>
      <c r="K658" s="155">
        <v>192.55</v>
      </c>
      <c r="L658" s="157">
        <f>J658/K658</f>
        <v>0.021043884705271354</v>
      </c>
      <c r="M658" s="183">
        <v>298.987</v>
      </c>
      <c r="N658" s="159">
        <f>L658*M658</f>
        <v>6.2918479563749665</v>
      </c>
      <c r="O658" s="159">
        <f>L658*60*1000</f>
        <v>1262.6330823162812</v>
      </c>
      <c r="P658" s="161">
        <f>O658*M658/1000</f>
        <v>377.510877382498</v>
      </c>
      <c r="R658" s="10"/>
      <c r="S658" s="10"/>
    </row>
    <row r="659" spans="1:19" s="9" customFormat="1" ht="12.75" customHeight="1">
      <c r="A659" s="273"/>
      <c r="B659" s="152" t="s">
        <v>906</v>
      </c>
      <c r="C659" s="97">
        <v>18</v>
      </c>
      <c r="D659" s="97" t="s">
        <v>892</v>
      </c>
      <c r="E659" s="153">
        <v>27.574</v>
      </c>
      <c r="F659" s="153">
        <v>1.083</v>
      </c>
      <c r="G659" s="153">
        <v>2.88</v>
      </c>
      <c r="H659" s="153">
        <v>23.611</v>
      </c>
      <c r="I659" s="231"/>
      <c r="J659" s="153">
        <v>23.611</v>
      </c>
      <c r="K659" s="155">
        <v>1120.9</v>
      </c>
      <c r="L659" s="157">
        <f>J659/K659</f>
        <v>0.021064323311624587</v>
      </c>
      <c r="M659" s="183">
        <v>276.97</v>
      </c>
      <c r="N659" s="159">
        <f>L659*M659</f>
        <v>5.834185627620663</v>
      </c>
      <c r="O659" s="159">
        <f>L659*60*1000</f>
        <v>1263.8593986974752</v>
      </c>
      <c r="P659" s="161">
        <f>O659*M659/1000</f>
        <v>350.05113765723974</v>
      </c>
      <c r="Q659" s="11"/>
      <c r="R659" s="39"/>
      <c r="S659" s="10"/>
    </row>
    <row r="660" spans="1:19" s="9" customFormat="1" ht="12.75" customHeight="1">
      <c r="A660" s="273"/>
      <c r="B660" s="371" t="s">
        <v>1028</v>
      </c>
      <c r="C660" s="372">
        <v>25</v>
      </c>
      <c r="D660" s="373" t="s">
        <v>24</v>
      </c>
      <c r="E660" s="374">
        <v>34.32</v>
      </c>
      <c r="F660" s="374">
        <v>4.25</v>
      </c>
      <c r="G660" s="375">
        <v>4.49</v>
      </c>
      <c r="H660" s="374">
        <v>25.58</v>
      </c>
      <c r="I660" s="376">
        <v>1214.16</v>
      </c>
      <c r="J660" s="374">
        <v>25.58</v>
      </c>
      <c r="K660" s="377">
        <v>1214.25</v>
      </c>
      <c r="L660" s="181">
        <f>J660/K660</f>
        <v>0.02106650195593988</v>
      </c>
      <c r="M660" s="158">
        <v>269.2</v>
      </c>
      <c r="N660" s="160">
        <f>L660*M660</f>
        <v>5.671102326539016</v>
      </c>
      <c r="O660" s="160">
        <f>L660*60*1000</f>
        <v>1263.9901173563928</v>
      </c>
      <c r="P660" s="182">
        <f>O660*M660/1000</f>
        <v>340.2661395923409</v>
      </c>
      <c r="R660" s="10"/>
      <c r="S660" s="10"/>
    </row>
    <row r="661" spans="1:19" s="9" customFormat="1" ht="12.75" customHeight="1">
      <c r="A661" s="273"/>
      <c r="B661" s="152" t="s">
        <v>907</v>
      </c>
      <c r="C661" s="97">
        <v>19</v>
      </c>
      <c r="D661" s="97" t="s">
        <v>892</v>
      </c>
      <c r="E661" s="153">
        <v>24.112</v>
      </c>
      <c r="F661" s="153">
        <v>0.661</v>
      </c>
      <c r="G661" s="153">
        <v>3.04</v>
      </c>
      <c r="H661" s="153">
        <v>20.411</v>
      </c>
      <c r="I661" s="261"/>
      <c r="J661" s="153">
        <v>20.412</v>
      </c>
      <c r="K661" s="155">
        <v>966.6</v>
      </c>
      <c r="L661" s="157">
        <f>J661/K661</f>
        <v>0.02111731843575419</v>
      </c>
      <c r="M661" s="183">
        <v>276.97</v>
      </c>
      <c r="N661" s="159">
        <f>L661*M661</f>
        <v>5.848863687150838</v>
      </c>
      <c r="O661" s="159">
        <f>L661*60*1000</f>
        <v>1267.0391061452513</v>
      </c>
      <c r="P661" s="161">
        <f>O661*M661/1000</f>
        <v>350.9318212290503</v>
      </c>
      <c r="R661" s="10"/>
      <c r="S661" s="10"/>
    </row>
    <row r="662" spans="1:19" s="9" customFormat="1" ht="12.75" customHeight="1">
      <c r="A662" s="273"/>
      <c r="B662" s="152" t="s">
        <v>973</v>
      </c>
      <c r="C662" s="97">
        <v>20</v>
      </c>
      <c r="D662" s="97">
        <v>1984</v>
      </c>
      <c r="E662" s="153">
        <v>19.743</v>
      </c>
      <c r="F662" s="153">
        <v>1.152</v>
      </c>
      <c r="G662" s="153">
        <v>3.2</v>
      </c>
      <c r="H662" s="153">
        <v>15.391</v>
      </c>
      <c r="I662" s="155">
        <v>728.56</v>
      </c>
      <c r="J662" s="153">
        <v>13.655</v>
      </c>
      <c r="K662" s="155">
        <v>646.4</v>
      </c>
      <c r="L662" s="157">
        <f>J662/K662</f>
        <v>0.021124690594059407</v>
      </c>
      <c r="M662" s="183">
        <v>298.987</v>
      </c>
      <c r="N662" s="159">
        <f>L662*M662</f>
        <v>6.31600786664604</v>
      </c>
      <c r="O662" s="159">
        <f>L662*60*1000</f>
        <v>1267.4814356435645</v>
      </c>
      <c r="P662" s="161">
        <f>O662*M662/1000</f>
        <v>378.96047199876244</v>
      </c>
      <c r="R662" s="10"/>
      <c r="S662" s="10"/>
    </row>
    <row r="663" spans="1:19" s="9" customFormat="1" ht="12.75" customHeight="1">
      <c r="A663" s="273"/>
      <c r="B663" s="187" t="s">
        <v>441</v>
      </c>
      <c r="C663" s="188">
        <v>6</v>
      </c>
      <c r="D663" s="188">
        <v>1956</v>
      </c>
      <c r="E663" s="154">
        <f>F663+G663+H663</f>
        <v>8.2</v>
      </c>
      <c r="F663" s="154">
        <v>0.32</v>
      </c>
      <c r="G663" s="154">
        <v>0.96</v>
      </c>
      <c r="H663" s="154">
        <v>6.92</v>
      </c>
      <c r="I663" s="156">
        <v>327.26</v>
      </c>
      <c r="J663" s="154">
        <v>6.92</v>
      </c>
      <c r="K663" s="156">
        <v>327.26</v>
      </c>
      <c r="L663" s="181">
        <f>J663/K663</f>
        <v>0.021145266760374017</v>
      </c>
      <c r="M663" s="158">
        <v>314.4</v>
      </c>
      <c r="N663" s="160">
        <f>L663*M663</f>
        <v>6.648071869461591</v>
      </c>
      <c r="O663" s="160">
        <f>L663*60*1000</f>
        <v>1268.716005622441</v>
      </c>
      <c r="P663" s="182">
        <f>O663*M663/1000</f>
        <v>398.8843121676954</v>
      </c>
      <c r="R663" s="39"/>
      <c r="S663" s="10"/>
    </row>
    <row r="664" spans="1:19" s="9" customFormat="1" ht="12.75" customHeight="1">
      <c r="A664" s="273"/>
      <c r="B664" s="126" t="s">
        <v>37</v>
      </c>
      <c r="C664" s="127">
        <v>108</v>
      </c>
      <c r="D664" s="127" t="s">
        <v>24</v>
      </c>
      <c r="E664" s="128">
        <v>82.183</v>
      </c>
      <c r="F664" s="128">
        <v>10.377082</v>
      </c>
      <c r="G664" s="128">
        <v>17.13</v>
      </c>
      <c r="H664" s="128">
        <v>54.675918</v>
      </c>
      <c r="I664" s="129">
        <v>2584.77</v>
      </c>
      <c r="J664" s="128">
        <v>54.67592</v>
      </c>
      <c r="K664" s="129">
        <v>2584.77</v>
      </c>
      <c r="L664" s="130">
        <f>J664/K664</f>
        <v>0.02115310840036057</v>
      </c>
      <c r="M664" s="127">
        <v>298.66</v>
      </c>
      <c r="N664" s="131">
        <f>L664*M664</f>
        <v>6.317587354851689</v>
      </c>
      <c r="O664" s="131">
        <f>L664*60*1000</f>
        <v>1269.1865040216344</v>
      </c>
      <c r="P664" s="132">
        <f>O664*M664/1000</f>
        <v>379.05524129110137</v>
      </c>
      <c r="R664" s="10"/>
      <c r="S664" s="10"/>
    </row>
    <row r="665" spans="1:19" s="9" customFormat="1" ht="12.75" customHeight="1">
      <c r="A665" s="273"/>
      <c r="B665" s="152" t="s">
        <v>947</v>
      </c>
      <c r="C665" s="97">
        <v>20</v>
      </c>
      <c r="D665" s="97">
        <v>1968</v>
      </c>
      <c r="E665" s="153">
        <v>24.673</v>
      </c>
      <c r="F665" s="153">
        <v>1.556</v>
      </c>
      <c r="G665" s="153">
        <v>3.2</v>
      </c>
      <c r="H665" s="153">
        <v>19.917</v>
      </c>
      <c r="I665" s="155">
        <v>937.81</v>
      </c>
      <c r="J665" s="153">
        <v>19.917</v>
      </c>
      <c r="K665" s="155">
        <v>937.81</v>
      </c>
      <c r="L665" s="157">
        <f>J665/K665</f>
        <v>0.02123777737494802</v>
      </c>
      <c r="M665" s="183">
        <v>201.868</v>
      </c>
      <c r="N665" s="159">
        <f>L665*M665</f>
        <v>4.287227643126006</v>
      </c>
      <c r="O665" s="159">
        <f>L665*60*1000</f>
        <v>1274.266642496881</v>
      </c>
      <c r="P665" s="161">
        <f>O665*M665/1000</f>
        <v>257.2336585875604</v>
      </c>
      <c r="R665" s="10"/>
      <c r="S665" s="10"/>
    </row>
    <row r="666" spans="1:19" s="9" customFormat="1" ht="12.75" customHeight="1">
      <c r="A666" s="273"/>
      <c r="B666" s="152" t="s">
        <v>255</v>
      </c>
      <c r="C666" s="97">
        <v>6</v>
      </c>
      <c r="D666" s="97" t="s">
        <v>24</v>
      </c>
      <c r="E666" s="153">
        <v>4.99</v>
      </c>
      <c r="F666" s="153">
        <v>0</v>
      </c>
      <c r="G666" s="153">
        <v>0</v>
      </c>
      <c r="H666" s="153">
        <f>+E666</f>
        <v>4.99</v>
      </c>
      <c r="I666" s="231"/>
      <c r="J666" s="153">
        <f>+H666</f>
        <v>4.99</v>
      </c>
      <c r="K666" s="155">
        <v>234.73</v>
      </c>
      <c r="L666" s="157">
        <f>J666/K666</f>
        <v>0.02125846717505219</v>
      </c>
      <c r="M666" s="183">
        <v>343.2</v>
      </c>
      <c r="N666" s="159">
        <f>L666*M666</f>
        <v>7.295905934477911</v>
      </c>
      <c r="O666" s="159">
        <f>L666*60*1000</f>
        <v>1275.5080305031315</v>
      </c>
      <c r="P666" s="161">
        <f>O666*M666/1000</f>
        <v>437.7543560686747</v>
      </c>
      <c r="R666" s="10"/>
      <c r="S666" s="10"/>
    </row>
    <row r="667" spans="1:19" s="9" customFormat="1" ht="12.75" customHeight="1">
      <c r="A667" s="273"/>
      <c r="B667" s="126" t="s">
        <v>339</v>
      </c>
      <c r="C667" s="127">
        <v>5</v>
      </c>
      <c r="D667" s="127">
        <v>1825</v>
      </c>
      <c r="E667" s="128">
        <f>SUM(F667:H667)</f>
        <v>4.908</v>
      </c>
      <c r="F667" s="128"/>
      <c r="G667" s="128"/>
      <c r="H667" s="128">
        <v>4.908</v>
      </c>
      <c r="I667" s="129">
        <v>230.53</v>
      </c>
      <c r="J667" s="128">
        <v>4.908</v>
      </c>
      <c r="K667" s="129">
        <v>230.53</v>
      </c>
      <c r="L667" s="130">
        <f>J667/K667</f>
        <v>0.021290070706632545</v>
      </c>
      <c r="M667" s="131">
        <v>285.3</v>
      </c>
      <c r="N667" s="131">
        <f>L667*M667*1.09</f>
        <v>6.62072231813647</v>
      </c>
      <c r="O667" s="131">
        <f>L667*60*1000</f>
        <v>1277.4042423979529</v>
      </c>
      <c r="P667" s="132">
        <v>397.2433390881882</v>
      </c>
      <c r="Q667" s="11"/>
      <c r="R667" s="10"/>
      <c r="S667" s="10"/>
    </row>
    <row r="668" spans="1:19" s="9" customFormat="1" ht="12.75" customHeight="1">
      <c r="A668" s="273"/>
      <c r="B668" s="324" t="s">
        <v>223</v>
      </c>
      <c r="C668" s="330">
        <v>4</v>
      </c>
      <c r="D668" s="330" t="s">
        <v>24</v>
      </c>
      <c r="E668" s="335">
        <f>F668+G668+H668</f>
        <v>4.429</v>
      </c>
      <c r="F668" s="335">
        <v>0.4484</v>
      </c>
      <c r="G668" s="335">
        <v>0.64</v>
      </c>
      <c r="H668" s="335">
        <v>3.3406</v>
      </c>
      <c r="I668" s="341">
        <v>156.81</v>
      </c>
      <c r="J668" s="335">
        <v>3.3406</v>
      </c>
      <c r="K668" s="341">
        <v>156.81</v>
      </c>
      <c r="L668" s="346">
        <f>J668/K668</f>
        <v>0.021303488297940182</v>
      </c>
      <c r="M668" s="351">
        <v>210</v>
      </c>
      <c r="N668" s="351">
        <f>L668*M668</f>
        <v>4.473732542567438</v>
      </c>
      <c r="O668" s="351">
        <f>L668*1000*60</f>
        <v>1278.2092978764108</v>
      </c>
      <c r="P668" s="360">
        <f>N668*60</f>
        <v>268.4239525540463</v>
      </c>
      <c r="R668" s="10"/>
      <c r="S668" s="10"/>
    </row>
    <row r="669" spans="1:19" s="9" customFormat="1" ht="12.75" customHeight="1">
      <c r="A669" s="273"/>
      <c r="B669" s="126" t="s">
        <v>732</v>
      </c>
      <c r="C669" s="127">
        <v>9</v>
      </c>
      <c r="D669" s="127" t="s">
        <v>24</v>
      </c>
      <c r="E669" s="128">
        <f>F669+G669+H669</f>
        <v>16.699</v>
      </c>
      <c r="F669" s="128">
        <v>1.734</v>
      </c>
      <c r="G669" s="128">
        <v>1.44</v>
      </c>
      <c r="H669" s="128">
        <v>13.525</v>
      </c>
      <c r="I669" s="129">
        <v>634.43</v>
      </c>
      <c r="J669" s="128">
        <v>13.525</v>
      </c>
      <c r="K669" s="129">
        <v>634.43</v>
      </c>
      <c r="L669" s="130">
        <f>J669/K669</f>
        <v>0.021318348753999655</v>
      </c>
      <c r="M669" s="131">
        <v>210</v>
      </c>
      <c r="N669" s="131">
        <f>L669*M669</f>
        <v>4.4768532383399275</v>
      </c>
      <c r="O669" s="131">
        <f>L669*1000*60</f>
        <v>1279.1009252399792</v>
      </c>
      <c r="P669" s="132">
        <f>N669*60</f>
        <v>268.61119430039565</v>
      </c>
      <c r="R669" s="10"/>
      <c r="S669" s="10"/>
    </row>
    <row r="670" spans="1:19" s="9" customFormat="1" ht="12.75" customHeight="1">
      <c r="A670" s="273"/>
      <c r="B670" s="152" t="s">
        <v>714</v>
      </c>
      <c r="C670" s="97">
        <v>11</v>
      </c>
      <c r="D670" s="97" t="s">
        <v>24</v>
      </c>
      <c r="E670" s="153">
        <v>13.77</v>
      </c>
      <c r="F670" s="153">
        <v>0.76</v>
      </c>
      <c r="G670" s="153">
        <v>1.68</v>
      </c>
      <c r="H670" s="153">
        <v>11.33</v>
      </c>
      <c r="I670" s="155">
        <v>531</v>
      </c>
      <c r="J670" s="153">
        <v>11.33</v>
      </c>
      <c r="K670" s="155">
        <v>531</v>
      </c>
      <c r="L670" s="157">
        <f>J670/K670</f>
        <v>0.021337099811676082</v>
      </c>
      <c r="M670" s="183">
        <v>234.2</v>
      </c>
      <c r="N670" s="159">
        <f>L670*M670</f>
        <v>4.997148775894538</v>
      </c>
      <c r="O670" s="159">
        <f>L670*60*1000</f>
        <v>1280.2259887005648</v>
      </c>
      <c r="P670" s="161">
        <f>O670*M670/1000</f>
        <v>299.82892655367226</v>
      </c>
      <c r="R670" s="10"/>
      <c r="S670" s="10"/>
    </row>
    <row r="671" spans="1:19" s="9" customFormat="1" ht="12.75" customHeight="1">
      <c r="A671" s="273"/>
      <c r="B671" s="126" t="s">
        <v>225</v>
      </c>
      <c r="C671" s="127">
        <v>7</v>
      </c>
      <c r="D671" s="127" t="s">
        <v>24</v>
      </c>
      <c r="E671" s="128">
        <f>F671+G671+H671</f>
        <v>8.882</v>
      </c>
      <c r="F671" s="128">
        <v>0.5605</v>
      </c>
      <c r="G671" s="128">
        <v>1.12</v>
      </c>
      <c r="H671" s="128">
        <v>7.2015</v>
      </c>
      <c r="I671" s="129">
        <v>337.32</v>
      </c>
      <c r="J671" s="128">
        <v>7.2015</v>
      </c>
      <c r="K671" s="129">
        <v>337.32</v>
      </c>
      <c r="L671" s="130">
        <f>J671/K671</f>
        <v>0.02134916399857702</v>
      </c>
      <c r="M671" s="131">
        <v>210</v>
      </c>
      <c r="N671" s="131">
        <f>L671*M671</f>
        <v>4.483324439701175</v>
      </c>
      <c r="O671" s="131">
        <f>L671*1000*60</f>
        <v>1280.9498399146212</v>
      </c>
      <c r="P671" s="132">
        <f>N671*60</f>
        <v>268.99946638207047</v>
      </c>
      <c r="R671" s="10"/>
      <c r="S671" s="10"/>
    </row>
    <row r="672" spans="1:19" s="9" customFormat="1" ht="12.75" customHeight="1">
      <c r="A672" s="273"/>
      <c r="B672" s="126" t="s">
        <v>340</v>
      </c>
      <c r="C672" s="127">
        <v>43</v>
      </c>
      <c r="D672" s="127">
        <v>1986</v>
      </c>
      <c r="E672" s="128">
        <f>SUM(F672:H672)</f>
        <v>38.839999</v>
      </c>
      <c r="F672" s="128">
        <v>2.730752</v>
      </c>
      <c r="G672" s="128">
        <v>4.67</v>
      </c>
      <c r="H672" s="128">
        <v>31.439247</v>
      </c>
      <c r="I672" s="129">
        <v>1472.24</v>
      </c>
      <c r="J672" s="128">
        <v>31.439247</v>
      </c>
      <c r="K672" s="129">
        <v>1472.24</v>
      </c>
      <c r="L672" s="130">
        <f>J672/K672</f>
        <v>0.021354702358311144</v>
      </c>
      <c r="M672" s="131">
        <v>285.3</v>
      </c>
      <c r="N672" s="131">
        <f>L672*M672*1.09</f>
        <v>6.640821275280526</v>
      </c>
      <c r="O672" s="131">
        <f>L672*60*1000</f>
        <v>1281.2821414986686</v>
      </c>
      <c r="P672" s="132">
        <v>398.44927651683156</v>
      </c>
      <c r="R672" s="10"/>
      <c r="S672" s="10"/>
    </row>
    <row r="673" spans="1:19" s="9" customFormat="1" ht="12.75" customHeight="1">
      <c r="A673" s="273"/>
      <c r="B673" s="152" t="s">
        <v>666</v>
      </c>
      <c r="C673" s="97">
        <v>13</v>
      </c>
      <c r="D673" s="97">
        <v>1970</v>
      </c>
      <c r="E673" s="153">
        <f>F673+G673+H673</f>
        <v>16.6</v>
      </c>
      <c r="F673" s="153">
        <v>0</v>
      </c>
      <c r="G673" s="153">
        <v>0</v>
      </c>
      <c r="H673" s="153">
        <v>16.6</v>
      </c>
      <c r="I673" s="155">
        <v>829.09</v>
      </c>
      <c r="J673" s="153">
        <v>16.6</v>
      </c>
      <c r="K673" s="155">
        <v>776.93</v>
      </c>
      <c r="L673" s="157">
        <f>J673/K673</f>
        <v>0.02136614624226121</v>
      </c>
      <c r="M673" s="183">
        <v>314.4</v>
      </c>
      <c r="N673" s="159">
        <f>L673*M673</f>
        <v>6.717516378566924</v>
      </c>
      <c r="O673" s="159">
        <f>L673*60*1000</f>
        <v>1281.9687745356728</v>
      </c>
      <c r="P673" s="161">
        <f>O673*M673/1000</f>
        <v>403.05098271401545</v>
      </c>
      <c r="R673" s="10"/>
      <c r="S673" s="10"/>
    </row>
    <row r="674" spans="1:19" s="9" customFormat="1" ht="12.75" customHeight="1">
      <c r="A674" s="273"/>
      <c r="B674" s="152" t="s">
        <v>908</v>
      </c>
      <c r="C674" s="97">
        <v>20</v>
      </c>
      <c r="D674" s="97" t="s">
        <v>892</v>
      </c>
      <c r="E674" s="153">
        <v>32.433</v>
      </c>
      <c r="F674" s="153">
        <v>0.661</v>
      </c>
      <c r="G674" s="153">
        <v>0.2</v>
      </c>
      <c r="H674" s="153">
        <v>31.572</v>
      </c>
      <c r="I674" s="261"/>
      <c r="J674" s="153">
        <v>31.572</v>
      </c>
      <c r="K674" s="155">
        <v>1477.51</v>
      </c>
      <c r="L674" s="157">
        <f>J674/K674</f>
        <v>0.021368383293514086</v>
      </c>
      <c r="M674" s="183">
        <v>276.97</v>
      </c>
      <c r="N674" s="159">
        <f>L674*M674</f>
        <v>5.918401120804597</v>
      </c>
      <c r="O674" s="159">
        <f>L674*60*1000</f>
        <v>1282.102997610845</v>
      </c>
      <c r="P674" s="161">
        <f>O674*M674/1000</f>
        <v>355.1040672482758</v>
      </c>
      <c r="R674" s="10"/>
      <c r="S674" s="10"/>
    </row>
    <row r="675" spans="1:19" s="9" customFormat="1" ht="12.75" customHeight="1">
      <c r="A675" s="273"/>
      <c r="B675" s="152" t="s">
        <v>540</v>
      </c>
      <c r="C675" s="97">
        <v>16</v>
      </c>
      <c r="D675" s="97">
        <v>1909</v>
      </c>
      <c r="E675" s="153">
        <v>18.1</v>
      </c>
      <c r="F675" s="153"/>
      <c r="G675" s="153"/>
      <c r="H675" s="153">
        <v>18.1</v>
      </c>
      <c r="I675" s="155">
        <v>847</v>
      </c>
      <c r="J675" s="153">
        <v>18.1</v>
      </c>
      <c r="K675" s="155">
        <v>847</v>
      </c>
      <c r="L675" s="157">
        <f>J675/K675</f>
        <v>0.021369539551357734</v>
      </c>
      <c r="M675" s="183">
        <v>250.6</v>
      </c>
      <c r="N675" s="159">
        <f>L675*M675</f>
        <v>5.355206611570248</v>
      </c>
      <c r="O675" s="159">
        <f>L675*60*1000</f>
        <v>1282.172373081464</v>
      </c>
      <c r="P675" s="161">
        <f>O675*M675/1000</f>
        <v>321.3123966942149</v>
      </c>
      <c r="R675" s="10"/>
      <c r="S675" s="10"/>
    </row>
    <row r="676" spans="1:19" s="9" customFormat="1" ht="12.75" customHeight="1">
      <c r="A676" s="273"/>
      <c r="B676" s="152" t="s">
        <v>584</v>
      </c>
      <c r="C676" s="97">
        <v>114</v>
      </c>
      <c r="D676" s="97">
        <v>1958</v>
      </c>
      <c r="E676" s="153">
        <v>78.4</v>
      </c>
      <c r="F676" s="153">
        <v>9.03861</v>
      </c>
      <c r="G676" s="153">
        <v>0</v>
      </c>
      <c r="H676" s="153">
        <f>E676-F676-G676</f>
        <v>69.36139</v>
      </c>
      <c r="I676" s="155">
        <v>3243.77</v>
      </c>
      <c r="J676" s="153">
        <f>H676</f>
        <v>69.36139</v>
      </c>
      <c r="K676" s="155">
        <f>I676</f>
        <v>3243.77</v>
      </c>
      <c r="L676" s="157">
        <f>J676/K676</f>
        <v>0.02138295563495562</v>
      </c>
      <c r="M676" s="183">
        <v>279.5</v>
      </c>
      <c r="N676" s="159">
        <f>L676*M676</f>
        <v>5.9765360999700965</v>
      </c>
      <c r="O676" s="159">
        <f>L676*60*1000</f>
        <v>1282.9773380973372</v>
      </c>
      <c r="P676" s="161">
        <f>O676*M676/1000</f>
        <v>358.59216599820576</v>
      </c>
      <c r="R676" s="10"/>
      <c r="S676" s="10"/>
    </row>
    <row r="677" spans="1:19" s="9" customFormat="1" ht="12.75" customHeight="1">
      <c r="A677" s="273"/>
      <c r="B677" s="208" t="s">
        <v>675</v>
      </c>
      <c r="C677" s="267">
        <v>3</v>
      </c>
      <c r="D677" s="209">
        <v>1975</v>
      </c>
      <c r="E677" s="210">
        <v>4.258954999999999</v>
      </c>
      <c r="F677" s="211">
        <v>0.48450000000000004</v>
      </c>
      <c r="G677" s="211">
        <v>0.48</v>
      </c>
      <c r="H677" s="211">
        <v>3.2944549999999997</v>
      </c>
      <c r="I677" s="212">
        <v>331.17</v>
      </c>
      <c r="J677" s="211">
        <v>3.2944549999999997</v>
      </c>
      <c r="K677" s="212">
        <v>153.18</v>
      </c>
      <c r="L677" s="213">
        <v>0.021507083170126645</v>
      </c>
      <c r="M677" s="214">
        <v>314.574</v>
      </c>
      <c r="N677" s="215">
        <v>6.765569181159419</v>
      </c>
      <c r="O677" s="215">
        <v>1290.4249902075987</v>
      </c>
      <c r="P677" s="216">
        <v>405.9341508695652</v>
      </c>
      <c r="Q677" s="11"/>
      <c r="R677" s="10"/>
      <c r="S677" s="10"/>
    </row>
    <row r="678" spans="1:19" s="9" customFormat="1" ht="12.75" customHeight="1">
      <c r="A678" s="273"/>
      <c r="B678" s="152" t="s">
        <v>322</v>
      </c>
      <c r="C678" s="97">
        <v>21</v>
      </c>
      <c r="D678" s="97">
        <v>1974</v>
      </c>
      <c r="E678" s="153">
        <f>F678+G678+H678</f>
        <v>23.26</v>
      </c>
      <c r="F678" s="153">
        <v>0</v>
      </c>
      <c r="G678" s="153">
        <v>0</v>
      </c>
      <c r="H678" s="153">
        <v>23.26</v>
      </c>
      <c r="I678" s="155">
        <v>1145.06</v>
      </c>
      <c r="J678" s="153">
        <v>23.26</v>
      </c>
      <c r="K678" s="155">
        <v>1081.36</v>
      </c>
      <c r="L678" s="157">
        <f>J678/K678</f>
        <v>0.021509950432788343</v>
      </c>
      <c r="M678" s="183">
        <v>314.4</v>
      </c>
      <c r="N678" s="159">
        <f>L678*M678</f>
        <v>6.762728416068654</v>
      </c>
      <c r="O678" s="159">
        <f>L678*60*1000</f>
        <v>1290.5970259673006</v>
      </c>
      <c r="P678" s="161">
        <f>O678*M678/1000</f>
        <v>405.7637049641193</v>
      </c>
      <c r="R678" s="10"/>
      <c r="S678" s="10"/>
    </row>
    <row r="679" spans="1:16" s="9" customFormat="1" ht="12.75" customHeight="1">
      <c r="A679" s="273"/>
      <c r="B679" s="126" t="s">
        <v>465</v>
      </c>
      <c r="C679" s="127">
        <v>12</v>
      </c>
      <c r="D679" s="127" t="s">
        <v>24</v>
      </c>
      <c r="E679" s="128">
        <f>F679+G679+H679</f>
        <v>16.5431</v>
      </c>
      <c r="F679" s="128">
        <v>1.5134</v>
      </c>
      <c r="G679" s="128">
        <v>0</v>
      </c>
      <c r="H679" s="128">
        <v>15.0297</v>
      </c>
      <c r="I679" s="129">
        <v>696.15</v>
      </c>
      <c r="J679" s="128">
        <v>15.0297</v>
      </c>
      <c r="K679" s="129">
        <v>696.15</v>
      </c>
      <c r="L679" s="130">
        <f>J679/K679</f>
        <v>0.02158974358974359</v>
      </c>
      <c r="M679" s="131">
        <v>210</v>
      </c>
      <c r="N679" s="131">
        <f>L679*M679</f>
        <v>4.533846153846154</v>
      </c>
      <c r="O679" s="131">
        <f>L679*1000*60</f>
        <v>1295.3846153846152</v>
      </c>
      <c r="P679" s="132">
        <f>N679*60</f>
        <v>272.03076923076924</v>
      </c>
    </row>
    <row r="680" spans="1:19" s="9" customFormat="1" ht="12.75" customHeight="1">
      <c r="A680" s="273"/>
      <c r="B680" s="152" t="s">
        <v>439</v>
      </c>
      <c r="C680" s="97">
        <v>34</v>
      </c>
      <c r="D680" s="97">
        <v>1960</v>
      </c>
      <c r="E680" s="153">
        <f>F680+G680+H680</f>
        <v>32.03</v>
      </c>
      <c r="F680" s="153">
        <v>0</v>
      </c>
      <c r="G680" s="153">
        <v>0</v>
      </c>
      <c r="H680" s="153">
        <v>32.03</v>
      </c>
      <c r="I680" s="155">
        <v>1562.13</v>
      </c>
      <c r="J680" s="153">
        <v>32.03</v>
      </c>
      <c r="K680" s="155">
        <v>1483.17</v>
      </c>
      <c r="L680" s="157">
        <f>J680/K680</f>
        <v>0.021595636373443368</v>
      </c>
      <c r="M680" s="183">
        <v>314.4</v>
      </c>
      <c r="N680" s="159">
        <f>L680*M680</f>
        <v>6.789668075810594</v>
      </c>
      <c r="O680" s="159">
        <f>L680*60*1000</f>
        <v>1295.7381824066022</v>
      </c>
      <c r="P680" s="161">
        <f>O680*M680/1000</f>
        <v>407.3800845486357</v>
      </c>
      <c r="R680" s="10"/>
      <c r="S680" s="10"/>
    </row>
    <row r="681" spans="1:19" s="9" customFormat="1" ht="12.75" customHeight="1">
      <c r="A681" s="273"/>
      <c r="B681" s="208" t="s">
        <v>209</v>
      </c>
      <c r="C681" s="267">
        <v>18</v>
      </c>
      <c r="D681" s="209">
        <v>1989</v>
      </c>
      <c r="E681" s="210">
        <v>21.681998</v>
      </c>
      <c r="F681" s="211">
        <v>1.4280000000000002</v>
      </c>
      <c r="G681" s="211">
        <v>0</v>
      </c>
      <c r="H681" s="211">
        <v>20.253998</v>
      </c>
      <c r="I681" s="212">
        <v>937.87</v>
      </c>
      <c r="J681" s="211">
        <v>20.253998</v>
      </c>
      <c r="K681" s="212">
        <v>937.87</v>
      </c>
      <c r="L681" s="213">
        <v>0.021595741414055254</v>
      </c>
      <c r="M681" s="214">
        <v>314.574</v>
      </c>
      <c r="N681" s="215">
        <v>6.793458759585017</v>
      </c>
      <c r="O681" s="215">
        <v>1295.7444848433154</v>
      </c>
      <c r="P681" s="216">
        <v>407.6075255751011</v>
      </c>
      <c r="R681" s="10"/>
      <c r="S681" s="10"/>
    </row>
    <row r="682" spans="1:19" s="9" customFormat="1" ht="12.75" customHeight="1">
      <c r="A682" s="273"/>
      <c r="B682" s="152" t="s">
        <v>256</v>
      </c>
      <c r="C682" s="97">
        <v>8</v>
      </c>
      <c r="D682" s="97" t="s">
        <v>24</v>
      </c>
      <c r="E682" s="153">
        <v>8.6</v>
      </c>
      <c r="F682" s="153">
        <v>0</v>
      </c>
      <c r="G682" s="153">
        <v>0</v>
      </c>
      <c r="H682" s="153">
        <f>+E682-F682-G682</f>
        <v>8.6</v>
      </c>
      <c r="I682" s="231"/>
      <c r="J682" s="153">
        <f>+H682</f>
        <v>8.6</v>
      </c>
      <c r="K682" s="155">
        <v>397.76</v>
      </c>
      <c r="L682" s="157">
        <f>J682/K682</f>
        <v>0.02162107803700724</v>
      </c>
      <c r="M682" s="183">
        <v>343.2</v>
      </c>
      <c r="N682" s="159">
        <f>L682*M682</f>
        <v>7.420353982300885</v>
      </c>
      <c r="O682" s="159">
        <f>L682*60*1000</f>
        <v>1297.2646822204345</v>
      </c>
      <c r="P682" s="161">
        <f>O682*M682/1000</f>
        <v>445.2212389380531</v>
      </c>
      <c r="R682" s="10"/>
      <c r="S682" s="10"/>
    </row>
    <row r="683" spans="1:19" s="9" customFormat="1" ht="12.75" customHeight="1">
      <c r="A683" s="273"/>
      <c r="B683" s="152" t="s">
        <v>642</v>
      </c>
      <c r="C683" s="97">
        <v>8</v>
      </c>
      <c r="D683" s="97">
        <v>1962</v>
      </c>
      <c r="E683" s="153">
        <v>9.213</v>
      </c>
      <c r="F683" s="153">
        <v>0.306</v>
      </c>
      <c r="G683" s="153">
        <v>0.97</v>
      </c>
      <c r="H683" s="153">
        <v>7.937</v>
      </c>
      <c r="I683" s="155">
        <v>366.73</v>
      </c>
      <c r="J683" s="153">
        <v>7.937</v>
      </c>
      <c r="K683" s="155">
        <v>366.73</v>
      </c>
      <c r="L683" s="157">
        <v>0.021642</v>
      </c>
      <c r="M683" s="183">
        <v>277.1</v>
      </c>
      <c r="N683" s="159">
        <f>L683*M683*1.09</f>
        <v>6.5367280380000015</v>
      </c>
      <c r="O683" s="159">
        <f>L683*60*1000</f>
        <v>1298.5200000000002</v>
      </c>
      <c r="P683" s="161">
        <f>M683*O683/1000</f>
        <v>359.8198920000001</v>
      </c>
      <c r="R683" s="10"/>
      <c r="S683" s="10"/>
    </row>
    <row r="684" spans="1:19" s="9" customFormat="1" ht="12.75" customHeight="1">
      <c r="A684" s="273"/>
      <c r="B684" s="152" t="s">
        <v>538</v>
      </c>
      <c r="C684" s="97">
        <v>6</v>
      </c>
      <c r="D684" s="97">
        <v>1960</v>
      </c>
      <c r="E684" s="153">
        <v>6.8</v>
      </c>
      <c r="F684" s="153"/>
      <c r="G684" s="153"/>
      <c r="H684" s="153">
        <v>6.8</v>
      </c>
      <c r="I684" s="155">
        <v>314</v>
      </c>
      <c r="J684" s="153">
        <v>6.8</v>
      </c>
      <c r="K684" s="155">
        <v>314</v>
      </c>
      <c r="L684" s="157">
        <f>J684/K684</f>
        <v>0.02165605095541401</v>
      </c>
      <c r="M684" s="183">
        <v>250.6</v>
      </c>
      <c r="N684" s="159">
        <f>L684*M684</f>
        <v>5.427006369426751</v>
      </c>
      <c r="O684" s="159">
        <f>L684*60*1000</f>
        <v>1299.3630573248406</v>
      </c>
      <c r="P684" s="161">
        <f>O684*M684/1000</f>
        <v>325.620382165605</v>
      </c>
      <c r="R684" s="10"/>
      <c r="S684" s="10"/>
    </row>
    <row r="685" spans="1:19" s="9" customFormat="1" ht="12.75">
      <c r="A685" s="273"/>
      <c r="B685" s="126" t="s">
        <v>508</v>
      </c>
      <c r="C685" s="127">
        <v>22</v>
      </c>
      <c r="D685" s="127" t="s">
        <v>24</v>
      </c>
      <c r="E685" s="128">
        <f>SUM(F685:H685)</f>
        <v>21.53</v>
      </c>
      <c r="F685" s="128">
        <v>1.33</v>
      </c>
      <c r="G685" s="128">
        <v>0.22</v>
      </c>
      <c r="H685" s="128">
        <v>19.98</v>
      </c>
      <c r="I685" s="129">
        <v>896.35</v>
      </c>
      <c r="J685" s="128">
        <v>13.87</v>
      </c>
      <c r="K685" s="129">
        <v>640.15</v>
      </c>
      <c r="L685" s="157">
        <f>J685/K685</f>
        <v>0.02166679684448957</v>
      </c>
      <c r="M685" s="183">
        <v>206.1</v>
      </c>
      <c r="N685" s="159">
        <f>L685*M685</f>
        <v>4.4655268296493</v>
      </c>
      <c r="O685" s="159">
        <f>L685*60*1000</f>
        <v>1300.0078106693743</v>
      </c>
      <c r="P685" s="161">
        <f>O685*M685/1000</f>
        <v>267.93160977895803</v>
      </c>
      <c r="R685" s="10"/>
      <c r="S685" s="10"/>
    </row>
    <row r="686" spans="1:19" s="9" customFormat="1" ht="12.75">
      <c r="A686" s="273"/>
      <c r="B686" s="126" t="s">
        <v>157</v>
      </c>
      <c r="C686" s="127">
        <v>9</v>
      </c>
      <c r="D686" s="127" t="s">
        <v>24</v>
      </c>
      <c r="E686" s="128">
        <f>F686+G686+H686</f>
        <v>16.791900000000002</v>
      </c>
      <c r="F686" s="128">
        <v>1.5694</v>
      </c>
      <c r="G686" s="128">
        <v>1.44</v>
      </c>
      <c r="H686" s="128">
        <v>13.7825</v>
      </c>
      <c r="I686" s="129">
        <v>635.51</v>
      </c>
      <c r="J686" s="128">
        <v>13.7825</v>
      </c>
      <c r="K686" s="129">
        <v>635.51</v>
      </c>
      <c r="L686" s="130">
        <f>J686/K686</f>
        <v>0.021687306257966044</v>
      </c>
      <c r="M686" s="131">
        <v>210</v>
      </c>
      <c r="N686" s="131">
        <f>L686*M686</f>
        <v>4.554334314172869</v>
      </c>
      <c r="O686" s="131">
        <f>L686*1000*60</f>
        <v>1301.2383754779626</v>
      </c>
      <c r="P686" s="132">
        <f>N686*60</f>
        <v>273.26005885037216</v>
      </c>
      <c r="R686" s="10"/>
      <c r="S686" s="10"/>
    </row>
    <row r="687" spans="1:19" s="9" customFormat="1" ht="12.75">
      <c r="A687" s="273"/>
      <c r="B687" s="152" t="s">
        <v>974</v>
      </c>
      <c r="C687" s="97">
        <v>5</v>
      </c>
      <c r="D687" s="97">
        <v>1949</v>
      </c>
      <c r="E687" s="153">
        <v>6.738</v>
      </c>
      <c r="F687" s="153">
        <v>0.29</v>
      </c>
      <c r="G687" s="153">
        <v>0.8</v>
      </c>
      <c r="H687" s="153">
        <v>5.648</v>
      </c>
      <c r="I687" s="155">
        <v>260.34</v>
      </c>
      <c r="J687" s="153">
        <v>5.648</v>
      </c>
      <c r="K687" s="155">
        <v>260.34</v>
      </c>
      <c r="L687" s="157">
        <f>J687/K687</f>
        <v>0.021694706921717755</v>
      </c>
      <c r="M687" s="183">
        <v>298.987</v>
      </c>
      <c r="N687" s="159">
        <f>L687*M687</f>
        <v>6.486435338403627</v>
      </c>
      <c r="O687" s="159">
        <f>L687*60*1000</f>
        <v>1301.6824153030652</v>
      </c>
      <c r="P687" s="161">
        <f>O687*M687/1000</f>
        <v>389.18612030421764</v>
      </c>
      <c r="R687" s="10"/>
      <c r="S687" s="10"/>
    </row>
    <row r="688" spans="1:22" s="9" customFormat="1" ht="13.5" customHeight="1">
      <c r="A688" s="273"/>
      <c r="B688" s="126" t="s">
        <v>362</v>
      </c>
      <c r="C688" s="127">
        <v>4</v>
      </c>
      <c r="D688" s="127" t="s">
        <v>24</v>
      </c>
      <c r="E688" s="128">
        <f>F688+G688+H688</f>
        <v>3.056</v>
      </c>
      <c r="F688" s="128">
        <v>0.1121</v>
      </c>
      <c r="G688" s="128">
        <v>0.48</v>
      </c>
      <c r="H688" s="128">
        <v>2.4639</v>
      </c>
      <c r="I688" s="129">
        <v>113.39</v>
      </c>
      <c r="J688" s="128">
        <v>2.4639</v>
      </c>
      <c r="K688" s="129">
        <v>113.39</v>
      </c>
      <c r="L688" s="130">
        <f>J688/K688</f>
        <v>0.021729429402945588</v>
      </c>
      <c r="M688" s="131">
        <v>210</v>
      </c>
      <c r="N688" s="131">
        <f>L688*M688</f>
        <v>4.563180174618574</v>
      </c>
      <c r="O688" s="131">
        <f>L688*1000*60</f>
        <v>1303.7657641767353</v>
      </c>
      <c r="P688" s="132">
        <f>N688*60</f>
        <v>273.7908104771144</v>
      </c>
      <c r="Q688" s="10"/>
      <c r="R688" s="10"/>
      <c r="S688" s="10"/>
      <c r="T688" s="12"/>
      <c r="U688" s="13"/>
      <c r="V688" s="13"/>
    </row>
    <row r="689" spans="1:19" s="9" customFormat="1" ht="11.25" customHeight="1">
      <c r="A689" s="273"/>
      <c r="B689" s="126" t="s">
        <v>147</v>
      </c>
      <c r="C689" s="127">
        <v>47</v>
      </c>
      <c r="D689" s="127">
        <v>1969</v>
      </c>
      <c r="E689" s="128">
        <f>SUM(F689:H689)</f>
        <v>52.717999</v>
      </c>
      <c r="F689" s="128">
        <v>4.1349</v>
      </c>
      <c r="G689" s="128">
        <v>7.44</v>
      </c>
      <c r="H689" s="128">
        <v>41.143099</v>
      </c>
      <c r="I689" s="129">
        <v>1893.25</v>
      </c>
      <c r="J689" s="128">
        <v>41.143099</v>
      </c>
      <c r="K689" s="129">
        <v>1893.25</v>
      </c>
      <c r="L689" s="130">
        <f>J689/K689</f>
        <v>0.021731466525815396</v>
      </c>
      <c r="M689" s="131">
        <v>285.3</v>
      </c>
      <c r="N689" s="131">
        <f>L689*M689*1.09</f>
        <v>6.757986265798496</v>
      </c>
      <c r="O689" s="131">
        <f>L689*60*1000</f>
        <v>1303.8879915489238</v>
      </c>
      <c r="P689" s="132">
        <v>405.47917594790977</v>
      </c>
      <c r="R689" s="10"/>
      <c r="S689" s="10"/>
    </row>
    <row r="690" spans="1:19" s="9" customFormat="1" ht="12.75" customHeight="1">
      <c r="A690" s="273"/>
      <c r="B690" s="152" t="s">
        <v>317</v>
      </c>
      <c r="C690" s="97">
        <v>25</v>
      </c>
      <c r="D690" s="97">
        <v>1966</v>
      </c>
      <c r="E690" s="153">
        <f>F690+G690+H690</f>
        <v>28.34</v>
      </c>
      <c r="F690" s="153">
        <v>0</v>
      </c>
      <c r="G690" s="153">
        <v>0</v>
      </c>
      <c r="H690" s="153">
        <v>28.34</v>
      </c>
      <c r="I690" s="155">
        <v>1638.98</v>
      </c>
      <c r="J690" s="153">
        <v>28.34</v>
      </c>
      <c r="K690" s="155">
        <v>1303.24</v>
      </c>
      <c r="L690" s="157">
        <f>J690/K690</f>
        <v>0.0217458027684847</v>
      </c>
      <c r="M690" s="183">
        <v>314.4</v>
      </c>
      <c r="N690" s="159">
        <f>L690*M690</f>
        <v>6.836880390411589</v>
      </c>
      <c r="O690" s="159">
        <f>L690*60*1000</f>
        <v>1304.7481661090821</v>
      </c>
      <c r="P690" s="161">
        <f>O690*M690/1000</f>
        <v>410.2128234246954</v>
      </c>
      <c r="R690" s="10"/>
      <c r="S690" s="10"/>
    </row>
    <row r="691" spans="1:19" s="9" customFormat="1" ht="12.75" customHeight="1">
      <c r="A691" s="273"/>
      <c r="B691" s="152" t="s">
        <v>643</v>
      </c>
      <c r="C691" s="97">
        <v>12</v>
      </c>
      <c r="D691" s="97">
        <v>1972</v>
      </c>
      <c r="E691" s="153">
        <v>11.581</v>
      </c>
      <c r="F691" s="153">
        <v>0</v>
      </c>
      <c r="G691" s="153">
        <v>0</v>
      </c>
      <c r="H691" s="153">
        <v>11.581</v>
      </c>
      <c r="I691" s="155">
        <v>532.47</v>
      </c>
      <c r="J691" s="153">
        <v>11.581</v>
      </c>
      <c r="K691" s="155">
        <v>532.47</v>
      </c>
      <c r="L691" s="157">
        <v>0.021749</v>
      </c>
      <c r="M691" s="183">
        <v>277.1</v>
      </c>
      <c r="N691" s="159">
        <f>L691*M691*1.09</f>
        <v>6.569046211000001</v>
      </c>
      <c r="O691" s="159">
        <f>L691*60*1000</f>
        <v>1304.94</v>
      </c>
      <c r="P691" s="161">
        <f>M691*O691/1000</f>
        <v>361.5988740000001</v>
      </c>
      <c r="R691" s="10"/>
      <c r="S691" s="10"/>
    </row>
    <row r="692" spans="1:19" s="9" customFormat="1" ht="12.75" customHeight="1">
      <c r="A692" s="273"/>
      <c r="B692" s="301" t="s">
        <v>1029</v>
      </c>
      <c r="C692" s="302">
        <v>12</v>
      </c>
      <c r="D692" s="303" t="s">
        <v>24</v>
      </c>
      <c r="E692" s="304">
        <v>14.18</v>
      </c>
      <c r="F692" s="304">
        <v>0.76</v>
      </c>
      <c r="G692" s="305">
        <v>2.08</v>
      </c>
      <c r="H692" s="304">
        <v>11.34</v>
      </c>
      <c r="I692" s="306">
        <v>625.2</v>
      </c>
      <c r="J692" s="304">
        <v>10.33</v>
      </c>
      <c r="K692" s="307">
        <v>474.36</v>
      </c>
      <c r="L692" s="157">
        <f>J692/K692</f>
        <v>0.02177670967197909</v>
      </c>
      <c r="M692" s="183">
        <v>269.2</v>
      </c>
      <c r="N692" s="159">
        <f>L692*M692</f>
        <v>5.86229024369677</v>
      </c>
      <c r="O692" s="159">
        <f>L692*60*1000</f>
        <v>1306.6025803187454</v>
      </c>
      <c r="P692" s="161">
        <f>O692*M692/1000</f>
        <v>351.73741462180624</v>
      </c>
      <c r="R692" s="10"/>
      <c r="S692" s="10"/>
    </row>
    <row r="693" spans="1:19" s="9" customFormat="1" ht="12.75" customHeight="1">
      <c r="A693" s="273"/>
      <c r="B693" s="152" t="s">
        <v>318</v>
      </c>
      <c r="C693" s="97">
        <v>32</v>
      </c>
      <c r="D693" s="97">
        <v>1965</v>
      </c>
      <c r="E693" s="153">
        <f>F693+G693+H693</f>
        <v>30.94</v>
      </c>
      <c r="F693" s="153">
        <v>0</v>
      </c>
      <c r="G693" s="153">
        <v>0</v>
      </c>
      <c r="H693" s="153">
        <v>30.94</v>
      </c>
      <c r="I693" s="155">
        <v>1419.59</v>
      </c>
      <c r="J693" s="153">
        <v>30.94</v>
      </c>
      <c r="K693" s="155">
        <v>1419.59</v>
      </c>
      <c r="L693" s="157">
        <f>J693/K693</f>
        <v>0.021795025324213332</v>
      </c>
      <c r="M693" s="183">
        <v>314.4</v>
      </c>
      <c r="N693" s="159">
        <f>L693*M693</f>
        <v>6.8523559619326715</v>
      </c>
      <c r="O693" s="159">
        <f>L693*60*1000</f>
        <v>1307.7015194527999</v>
      </c>
      <c r="P693" s="161">
        <f>O693*M693/1000</f>
        <v>411.1413577159602</v>
      </c>
      <c r="Q693" s="11"/>
      <c r="R693" s="10"/>
      <c r="S693" s="10"/>
    </row>
    <row r="694" spans="1:19" s="9" customFormat="1" ht="11.25" customHeight="1">
      <c r="A694" s="273"/>
      <c r="B694" s="152" t="s">
        <v>457</v>
      </c>
      <c r="C694" s="97">
        <v>8</v>
      </c>
      <c r="D694" s="97" t="s">
        <v>24</v>
      </c>
      <c r="E694" s="153">
        <v>9.4</v>
      </c>
      <c r="F694" s="153">
        <v>0.66</v>
      </c>
      <c r="G694" s="153">
        <v>0.08</v>
      </c>
      <c r="H694" s="153">
        <v>8.66</v>
      </c>
      <c r="I694" s="155">
        <v>397</v>
      </c>
      <c r="J694" s="153">
        <v>8.66</v>
      </c>
      <c r="K694" s="155">
        <v>397</v>
      </c>
      <c r="L694" s="157">
        <f>J694/K694</f>
        <v>0.02181360201511335</v>
      </c>
      <c r="M694" s="183">
        <v>234.2</v>
      </c>
      <c r="N694" s="159">
        <f>L694*M694</f>
        <v>5.108745591939546</v>
      </c>
      <c r="O694" s="159">
        <f>L694*60*1000</f>
        <v>1308.816120906801</v>
      </c>
      <c r="P694" s="161">
        <f>O694*M694/1000</f>
        <v>306.5247355163728</v>
      </c>
      <c r="R694" s="10"/>
      <c r="S694" s="10"/>
    </row>
    <row r="695" spans="1:19" s="9" customFormat="1" ht="12.75" customHeight="1">
      <c r="A695" s="273"/>
      <c r="B695" s="126" t="s">
        <v>361</v>
      </c>
      <c r="C695" s="262">
        <v>48</v>
      </c>
      <c r="D695" s="127" t="s">
        <v>24</v>
      </c>
      <c r="E695" s="128">
        <f>F695+G695+H695</f>
        <v>18.0041</v>
      </c>
      <c r="F695" s="128">
        <v>0</v>
      </c>
      <c r="G695" s="128">
        <v>0</v>
      </c>
      <c r="H695" s="128">
        <v>18.0041</v>
      </c>
      <c r="I695" s="129">
        <v>825.18</v>
      </c>
      <c r="J695" s="128">
        <v>18.0041</v>
      </c>
      <c r="K695" s="129">
        <v>825.18</v>
      </c>
      <c r="L695" s="130">
        <f>J695/K695</f>
        <v>0.02181839113890303</v>
      </c>
      <c r="M695" s="131">
        <v>210</v>
      </c>
      <c r="N695" s="131">
        <f>L695*M695</f>
        <v>4.581862139169637</v>
      </c>
      <c r="O695" s="131">
        <f>L695*1000*60</f>
        <v>1309.1034683341818</v>
      </c>
      <c r="P695" s="132">
        <f>N695*60</f>
        <v>274.91172835017824</v>
      </c>
      <c r="Q695" s="11"/>
      <c r="R695" s="10"/>
      <c r="S695" s="10"/>
    </row>
    <row r="696" spans="1:19" s="9" customFormat="1" ht="12.75" customHeight="1">
      <c r="A696" s="273"/>
      <c r="B696" s="241" t="s">
        <v>924</v>
      </c>
      <c r="C696" s="97">
        <v>50</v>
      </c>
      <c r="D696" s="97">
        <v>1980</v>
      </c>
      <c r="E696" s="242">
        <f>F696+G696+H696</f>
        <v>57.08</v>
      </c>
      <c r="F696" s="242">
        <v>4.32</v>
      </c>
      <c r="G696" s="242">
        <v>8</v>
      </c>
      <c r="H696" s="242">
        <v>44.76</v>
      </c>
      <c r="I696" s="243">
        <v>2615.04</v>
      </c>
      <c r="J696" s="242">
        <f>E696</f>
        <v>57.08</v>
      </c>
      <c r="K696" s="243">
        <v>2615.04</v>
      </c>
      <c r="L696" s="244">
        <f>J696/K696</f>
        <v>0.021827581987273616</v>
      </c>
      <c r="M696" s="245">
        <v>244.38</v>
      </c>
      <c r="N696" s="246">
        <f>L696*M696</f>
        <v>5.334224486049926</v>
      </c>
      <c r="O696" s="246">
        <f>L696*60*1000</f>
        <v>1309.6549192364168</v>
      </c>
      <c r="P696" s="247">
        <f>O696*M696/1000</f>
        <v>320.0534691629955</v>
      </c>
      <c r="R696" s="10"/>
      <c r="S696" s="10"/>
    </row>
    <row r="697" spans="1:19" s="9" customFormat="1" ht="13.5" customHeight="1">
      <c r="A697" s="273"/>
      <c r="B697" s="152" t="s">
        <v>747</v>
      </c>
      <c r="C697" s="97">
        <v>20</v>
      </c>
      <c r="D697" s="97">
        <v>1983</v>
      </c>
      <c r="E697" s="153">
        <v>28.8</v>
      </c>
      <c r="F697" s="153">
        <v>2.19</v>
      </c>
      <c r="G697" s="153">
        <v>3.2</v>
      </c>
      <c r="H697" s="153">
        <v>23.44</v>
      </c>
      <c r="I697" s="231"/>
      <c r="J697" s="153">
        <f>H697</f>
        <v>23.44</v>
      </c>
      <c r="K697" s="155">
        <v>1073</v>
      </c>
      <c r="L697" s="157">
        <f>J697/K697</f>
        <v>0.0218452935694315</v>
      </c>
      <c r="M697" s="183">
        <v>187.69</v>
      </c>
      <c r="N697" s="159">
        <f>L697*M697</f>
        <v>4.100143150046598</v>
      </c>
      <c r="O697" s="159">
        <f>L697*60*1000</f>
        <v>1310.7176141658902</v>
      </c>
      <c r="P697" s="161">
        <f>O697*M697/1000</f>
        <v>246.00858900279593</v>
      </c>
      <c r="Q697" s="11"/>
      <c r="R697" s="10"/>
      <c r="S697" s="10"/>
    </row>
    <row r="698" spans="1:19" s="9" customFormat="1" ht="12.75" customHeight="1">
      <c r="A698" s="273"/>
      <c r="B698" s="126" t="s">
        <v>159</v>
      </c>
      <c r="C698" s="127">
        <v>6</v>
      </c>
      <c r="D698" s="127" t="s">
        <v>24</v>
      </c>
      <c r="E698" s="128">
        <f>F698+G698+H698</f>
        <v>9.1</v>
      </c>
      <c r="F698" s="128">
        <v>0.7399</v>
      </c>
      <c r="G698" s="128">
        <v>0.96</v>
      </c>
      <c r="H698" s="128">
        <v>7.4001</v>
      </c>
      <c r="I698" s="129">
        <v>337.61</v>
      </c>
      <c r="J698" s="128">
        <v>7.4001</v>
      </c>
      <c r="K698" s="129">
        <v>337.61</v>
      </c>
      <c r="L698" s="130">
        <f>J698/K698</f>
        <v>0.021919078226355852</v>
      </c>
      <c r="M698" s="131">
        <v>210</v>
      </c>
      <c r="N698" s="131">
        <f>L698*M698</f>
        <v>4.603006427534729</v>
      </c>
      <c r="O698" s="131">
        <f>L698*1000*60</f>
        <v>1315.1446935813512</v>
      </c>
      <c r="P698" s="132">
        <f>N698*60</f>
        <v>276.18038565208377</v>
      </c>
      <c r="Q698" s="11"/>
      <c r="R698" s="10"/>
      <c r="S698" s="10"/>
    </row>
    <row r="699" spans="1:19" s="9" customFormat="1" ht="12.75" customHeight="1">
      <c r="A699" s="273"/>
      <c r="B699" s="152" t="s">
        <v>319</v>
      </c>
      <c r="C699" s="97">
        <v>29</v>
      </c>
      <c r="D699" s="97">
        <v>1960</v>
      </c>
      <c r="E699" s="153">
        <f>F699+G699+H699</f>
        <v>26.08</v>
      </c>
      <c r="F699" s="153">
        <v>0</v>
      </c>
      <c r="G699" s="153">
        <v>0</v>
      </c>
      <c r="H699" s="153">
        <v>26.08</v>
      </c>
      <c r="I699" s="155">
        <v>1187.67</v>
      </c>
      <c r="J699" s="153">
        <v>26.08</v>
      </c>
      <c r="K699" s="155">
        <v>1187.67</v>
      </c>
      <c r="L699" s="157">
        <f>J699/K699</f>
        <v>0.021958961664435405</v>
      </c>
      <c r="M699" s="183">
        <v>314.4</v>
      </c>
      <c r="N699" s="159">
        <f>L699*M699</f>
        <v>6.903897547298491</v>
      </c>
      <c r="O699" s="159">
        <f>L699*60*1000</f>
        <v>1317.5376998661243</v>
      </c>
      <c r="P699" s="161">
        <f>O699*M699/1000</f>
        <v>414.2338528379094</v>
      </c>
      <c r="R699" s="10"/>
      <c r="S699" s="10"/>
    </row>
    <row r="700" spans="1:19" s="9" customFormat="1" ht="12.75">
      <c r="A700" s="273"/>
      <c r="B700" s="152" t="s">
        <v>644</v>
      </c>
      <c r="C700" s="97">
        <v>8</v>
      </c>
      <c r="D700" s="97">
        <v>1962</v>
      </c>
      <c r="E700" s="153">
        <v>9.432</v>
      </c>
      <c r="F700" s="153">
        <v>0.255</v>
      </c>
      <c r="G700" s="153">
        <v>1.2</v>
      </c>
      <c r="H700" s="153">
        <v>7.977</v>
      </c>
      <c r="I700" s="155">
        <v>363.26</v>
      </c>
      <c r="J700" s="153">
        <v>5.481964</v>
      </c>
      <c r="K700" s="155">
        <v>249.64</v>
      </c>
      <c r="L700" s="157">
        <v>0.021959</v>
      </c>
      <c r="M700" s="183">
        <v>277.1</v>
      </c>
      <c r="N700" s="159">
        <f>L700*M700*1.09</f>
        <v>6.6324744010000005</v>
      </c>
      <c r="O700" s="159">
        <f>L700*60*1000</f>
        <v>1317.54</v>
      </c>
      <c r="P700" s="161">
        <f>M700*O700/1000</f>
        <v>365.09033400000004</v>
      </c>
      <c r="R700" s="10"/>
      <c r="S700" s="10"/>
    </row>
    <row r="701" spans="1:19" s="9" customFormat="1" ht="13.5" thickBot="1">
      <c r="A701" s="274"/>
      <c r="B701" s="381" t="s">
        <v>1030</v>
      </c>
      <c r="C701" s="382">
        <v>5</v>
      </c>
      <c r="D701" s="383" t="s">
        <v>24</v>
      </c>
      <c r="E701" s="384">
        <v>14.86</v>
      </c>
      <c r="F701" s="384">
        <v>0.86</v>
      </c>
      <c r="G701" s="385">
        <v>0.81</v>
      </c>
      <c r="H701" s="384">
        <v>13.19</v>
      </c>
      <c r="I701" s="386">
        <v>654.51</v>
      </c>
      <c r="J701" s="384">
        <v>10.9</v>
      </c>
      <c r="K701" s="387">
        <v>495.61</v>
      </c>
      <c r="L701" s="162">
        <f>J701/K701</f>
        <v>0.021993099412844778</v>
      </c>
      <c r="M701" s="184">
        <v>269.2</v>
      </c>
      <c r="N701" s="163">
        <f>L701*M701</f>
        <v>5.920542361937814</v>
      </c>
      <c r="O701" s="163">
        <f>L701*60*1000</f>
        <v>1319.5859647706866</v>
      </c>
      <c r="P701" s="164">
        <f>O701*M701/1000</f>
        <v>355.2325417162688</v>
      </c>
      <c r="R701" s="10"/>
      <c r="S701" s="10"/>
    </row>
    <row r="702" spans="1:19" s="9" customFormat="1" ht="12.75" customHeight="1">
      <c r="A702" s="380" t="s">
        <v>560</v>
      </c>
      <c r="B702" s="189" t="s">
        <v>282</v>
      </c>
      <c r="C702" s="123">
        <v>3</v>
      </c>
      <c r="D702" s="123">
        <v>1939</v>
      </c>
      <c r="E702" s="95">
        <v>5.034</v>
      </c>
      <c r="F702" s="95">
        <v>0</v>
      </c>
      <c r="G702" s="95">
        <v>0.04</v>
      </c>
      <c r="H702" s="95">
        <v>4.994</v>
      </c>
      <c r="I702" s="165">
        <v>226.57</v>
      </c>
      <c r="J702" s="95">
        <v>2.52</v>
      </c>
      <c r="K702" s="165">
        <v>114.54</v>
      </c>
      <c r="L702" s="92">
        <f>J702/K702</f>
        <v>0.022001047668936614</v>
      </c>
      <c r="M702" s="96">
        <v>338.118</v>
      </c>
      <c r="N702" s="93">
        <f>L702*M702</f>
        <v>7.4389502357255095</v>
      </c>
      <c r="O702" s="93">
        <f>L702*60*1000</f>
        <v>1320.0628601361968</v>
      </c>
      <c r="P702" s="94">
        <f>O702*M702/1000</f>
        <v>446.33701414353055</v>
      </c>
      <c r="R702" s="10"/>
      <c r="S702" s="10"/>
    </row>
    <row r="703" spans="1:16" s="9" customFormat="1" ht="12.75" customHeight="1">
      <c r="A703" s="380"/>
      <c r="B703" s="67" t="s">
        <v>522</v>
      </c>
      <c r="C703" s="35">
        <v>2</v>
      </c>
      <c r="D703" s="35" t="s">
        <v>24</v>
      </c>
      <c r="E703" s="75">
        <v>2.6</v>
      </c>
      <c r="F703" s="75">
        <f>4*0.051</f>
        <v>0.204</v>
      </c>
      <c r="G703" s="75">
        <f>2*0.01</f>
        <v>0.02</v>
      </c>
      <c r="H703" s="75">
        <f>+E703-F703-G703</f>
        <v>2.376</v>
      </c>
      <c r="I703" s="263"/>
      <c r="J703" s="75">
        <f>+H703</f>
        <v>2.376</v>
      </c>
      <c r="K703" s="70">
        <v>107.98</v>
      </c>
      <c r="L703" s="64">
        <f>J703/K703</f>
        <v>0.022004074828671973</v>
      </c>
      <c r="M703" s="36">
        <v>343.2</v>
      </c>
      <c r="N703" s="65">
        <f>L703*M703</f>
        <v>7.551798481200221</v>
      </c>
      <c r="O703" s="65">
        <f>L703*60*1000</f>
        <v>1320.2444897203186</v>
      </c>
      <c r="P703" s="66">
        <f>O703*M703/1000</f>
        <v>453.10790887201335</v>
      </c>
    </row>
    <row r="704" spans="1:19" s="9" customFormat="1" ht="12.75" customHeight="1">
      <c r="A704" s="380"/>
      <c r="B704" s="67" t="s">
        <v>975</v>
      </c>
      <c r="C704" s="35">
        <v>5</v>
      </c>
      <c r="D704" s="35">
        <v>1984</v>
      </c>
      <c r="E704" s="75">
        <v>4.108</v>
      </c>
      <c r="F704" s="75">
        <v>0.056</v>
      </c>
      <c r="G704" s="75">
        <v>0.08</v>
      </c>
      <c r="H704" s="75">
        <v>3.972</v>
      </c>
      <c r="I704" s="70">
        <v>180.46</v>
      </c>
      <c r="J704" s="75">
        <v>3.972</v>
      </c>
      <c r="K704" s="70">
        <v>180.46</v>
      </c>
      <c r="L704" s="64">
        <f>J704/K704</f>
        <v>0.022010417821123795</v>
      </c>
      <c r="M704" s="36">
        <v>298.987</v>
      </c>
      <c r="N704" s="65">
        <f>L704*M704</f>
        <v>6.580828793084341</v>
      </c>
      <c r="O704" s="65">
        <f>L704*60*1000</f>
        <v>1320.6250692674278</v>
      </c>
      <c r="P704" s="66">
        <f>O704*M704/1000</f>
        <v>394.84972758506046</v>
      </c>
      <c r="Q704" s="11"/>
      <c r="R704" s="10"/>
      <c r="S704" s="10"/>
    </row>
    <row r="705" spans="1:19" s="9" customFormat="1" ht="12.75">
      <c r="A705" s="380"/>
      <c r="B705" s="67" t="s">
        <v>667</v>
      </c>
      <c r="C705" s="35">
        <v>18</v>
      </c>
      <c r="D705" s="35">
        <v>1982</v>
      </c>
      <c r="E705" s="75">
        <f>F705+G705+H705</f>
        <v>23.630000000000003</v>
      </c>
      <c r="F705" s="75">
        <v>1.24</v>
      </c>
      <c r="G705" s="75">
        <v>2.88</v>
      </c>
      <c r="H705" s="75">
        <v>19.51</v>
      </c>
      <c r="I705" s="70">
        <v>1043.82</v>
      </c>
      <c r="J705" s="75">
        <v>19.51</v>
      </c>
      <c r="K705" s="70">
        <v>885.35</v>
      </c>
      <c r="L705" s="64">
        <f>J705/K705</f>
        <v>0.02203648274693624</v>
      </c>
      <c r="M705" s="36">
        <v>314.4</v>
      </c>
      <c r="N705" s="65">
        <f>L705*M705</f>
        <v>6.9282701756367535</v>
      </c>
      <c r="O705" s="65">
        <f>L705*60*1000</f>
        <v>1322.1889648161743</v>
      </c>
      <c r="P705" s="66">
        <f>O705*M705/1000</f>
        <v>415.69621053820515</v>
      </c>
      <c r="R705" s="10"/>
      <c r="S705" s="10"/>
    </row>
    <row r="706" spans="1:19" s="9" customFormat="1" ht="12.75">
      <c r="A706" s="380"/>
      <c r="B706" s="67" t="s">
        <v>472</v>
      </c>
      <c r="C706" s="35">
        <v>20</v>
      </c>
      <c r="D706" s="35">
        <v>1984</v>
      </c>
      <c r="E706" s="75">
        <v>28</v>
      </c>
      <c r="F706" s="75">
        <v>1.53</v>
      </c>
      <c r="G706" s="75">
        <v>3.2</v>
      </c>
      <c r="H706" s="75">
        <v>23.29</v>
      </c>
      <c r="I706" s="263"/>
      <c r="J706" s="75">
        <f>H706</f>
        <v>23.29</v>
      </c>
      <c r="K706" s="70">
        <v>1056</v>
      </c>
      <c r="L706" s="64">
        <f>J706/K706</f>
        <v>0.02205492424242424</v>
      </c>
      <c r="M706" s="36">
        <v>187.69</v>
      </c>
      <c r="N706" s="65">
        <f>L706*M706</f>
        <v>4.139488731060606</v>
      </c>
      <c r="O706" s="65">
        <f>L706*60*1000</f>
        <v>1323.2954545454545</v>
      </c>
      <c r="P706" s="66">
        <f>O706*M706/1000</f>
        <v>248.36932386363634</v>
      </c>
      <c r="R706" s="10"/>
      <c r="S706" s="10"/>
    </row>
    <row r="707" spans="1:19" s="9" customFormat="1" ht="12.75">
      <c r="A707" s="380"/>
      <c r="B707" s="67" t="s">
        <v>775</v>
      </c>
      <c r="C707" s="35">
        <v>13</v>
      </c>
      <c r="D707" s="35">
        <v>1950</v>
      </c>
      <c r="E707" s="75">
        <v>15.3</v>
      </c>
      <c r="F707" s="75">
        <v>0.662</v>
      </c>
      <c r="G707" s="75">
        <v>1.84</v>
      </c>
      <c r="H707" s="75">
        <v>12.767</v>
      </c>
      <c r="I707" s="70">
        <v>580.31</v>
      </c>
      <c r="J707" s="75">
        <v>12.8</v>
      </c>
      <c r="K707" s="70">
        <v>580.3</v>
      </c>
      <c r="L707" s="64">
        <f>J707/K707</f>
        <v>0.02205755643632604</v>
      </c>
      <c r="M707" s="36">
        <v>224.1</v>
      </c>
      <c r="N707" s="65">
        <f>L707*M707</f>
        <v>4.943098397380665</v>
      </c>
      <c r="O707" s="65">
        <f>L707*60*1000</f>
        <v>1323.4533861795624</v>
      </c>
      <c r="P707" s="66">
        <f>O707*M707/1000</f>
        <v>296.5859038428399</v>
      </c>
      <c r="Q707" s="11"/>
      <c r="R707" s="10"/>
      <c r="S707" s="10"/>
    </row>
    <row r="708" spans="1:19" s="9" customFormat="1" ht="12.75">
      <c r="A708" s="380"/>
      <c r="B708" s="67" t="s">
        <v>776</v>
      </c>
      <c r="C708" s="35">
        <v>32</v>
      </c>
      <c r="D708" s="35"/>
      <c r="E708" s="75">
        <v>47.3</v>
      </c>
      <c r="F708" s="75">
        <v>4.239</v>
      </c>
      <c r="G708" s="75">
        <v>5.12</v>
      </c>
      <c r="H708" s="75">
        <v>38.041</v>
      </c>
      <c r="I708" s="70">
        <v>1722.7</v>
      </c>
      <c r="J708" s="75">
        <v>38</v>
      </c>
      <c r="K708" s="70">
        <v>1722.7</v>
      </c>
      <c r="L708" s="64">
        <f>J708/K708</f>
        <v>0.022058396702850175</v>
      </c>
      <c r="M708" s="36">
        <v>224.1</v>
      </c>
      <c r="N708" s="65">
        <f>L708*M708</f>
        <v>4.9432867011087245</v>
      </c>
      <c r="O708" s="65">
        <f>L708*60*1000</f>
        <v>1323.5038021710106</v>
      </c>
      <c r="P708" s="66">
        <f>O708*M708/1000</f>
        <v>296.5972020665235</v>
      </c>
      <c r="Q708" s="11"/>
      <c r="R708" s="10"/>
      <c r="S708" s="10"/>
    </row>
    <row r="709" spans="1:19" s="9" customFormat="1" ht="12.75">
      <c r="A709" s="380"/>
      <c r="B709" s="67" t="s">
        <v>123</v>
      </c>
      <c r="C709" s="35">
        <v>45</v>
      </c>
      <c r="D709" s="35">
        <v>1982</v>
      </c>
      <c r="E709" s="75">
        <f>F709+G709+H709</f>
        <v>39.550000000000004</v>
      </c>
      <c r="F709" s="75">
        <v>3.96</v>
      </c>
      <c r="G709" s="75">
        <v>1.1</v>
      </c>
      <c r="H709" s="75">
        <v>34.49</v>
      </c>
      <c r="I709" s="70">
        <v>1563.22</v>
      </c>
      <c r="J709" s="75">
        <v>34.49</v>
      </c>
      <c r="K709" s="70">
        <v>1563.22</v>
      </c>
      <c r="L709" s="64">
        <f>J709/K709</f>
        <v>0.022063433169995268</v>
      </c>
      <c r="M709" s="36">
        <v>314.4</v>
      </c>
      <c r="N709" s="65">
        <f>L709*M709</f>
        <v>6.936743388646512</v>
      </c>
      <c r="O709" s="65">
        <f>L709*60*1000</f>
        <v>1323.8059901997162</v>
      </c>
      <c r="P709" s="66">
        <f>O709*M709/1000</f>
        <v>416.2046033187907</v>
      </c>
      <c r="R709" s="10"/>
      <c r="S709" s="10"/>
    </row>
    <row r="710" spans="1:19" s="9" customFormat="1" ht="12.75">
      <c r="A710" s="380"/>
      <c r="B710" s="121" t="s">
        <v>421</v>
      </c>
      <c r="C710" s="35">
        <v>22</v>
      </c>
      <c r="D710" s="35">
        <v>1961</v>
      </c>
      <c r="E710" s="75">
        <v>21.917</v>
      </c>
      <c r="F710" s="75">
        <v>1.836</v>
      </c>
      <c r="G710" s="75">
        <v>0.2</v>
      </c>
      <c r="H710" s="75">
        <v>19.881</v>
      </c>
      <c r="I710" s="36">
        <v>900.48</v>
      </c>
      <c r="J710" s="75">
        <v>19.881</v>
      </c>
      <c r="K710" s="36">
        <v>900.48</v>
      </c>
      <c r="L710" s="64">
        <f>J710/K710</f>
        <v>0.022078224946695094</v>
      </c>
      <c r="M710" s="36">
        <v>302.3</v>
      </c>
      <c r="N710" s="65">
        <f>L710*M710</f>
        <v>6.674247401385927</v>
      </c>
      <c r="O710" s="65">
        <f>L710*60*1000</f>
        <v>1324.6934968017056</v>
      </c>
      <c r="P710" s="66">
        <f>O710*M710/1000</f>
        <v>400.45484408315565</v>
      </c>
      <c r="R710" s="10"/>
      <c r="S710" s="10"/>
    </row>
    <row r="711" spans="1:19" s="9" customFormat="1" ht="12.75">
      <c r="A711" s="380"/>
      <c r="B711" s="217" t="s">
        <v>676</v>
      </c>
      <c r="C711" s="268">
        <v>33</v>
      </c>
      <c r="D711" s="218">
        <v>1930</v>
      </c>
      <c r="E711" s="219">
        <v>32.624706</v>
      </c>
      <c r="F711" s="220">
        <v>2.4506520000000003</v>
      </c>
      <c r="G711" s="220">
        <v>0</v>
      </c>
      <c r="H711" s="220">
        <v>30.174054</v>
      </c>
      <c r="I711" s="221">
        <v>1548.33</v>
      </c>
      <c r="J711" s="220">
        <v>30.174054</v>
      </c>
      <c r="K711" s="221">
        <v>1366.25</v>
      </c>
      <c r="L711" s="222">
        <v>0.02208530942360476</v>
      </c>
      <c r="M711" s="223">
        <v>314.574</v>
      </c>
      <c r="N711" s="224">
        <v>6.947464126621044</v>
      </c>
      <c r="O711" s="224">
        <v>1325.1185654162855</v>
      </c>
      <c r="P711" s="225">
        <v>416.8478475972626</v>
      </c>
      <c r="R711" s="10"/>
      <c r="S711" s="10"/>
    </row>
    <row r="712" spans="1:19" s="9" customFormat="1" ht="12.75">
      <c r="A712" s="380"/>
      <c r="B712" s="67" t="s">
        <v>777</v>
      </c>
      <c r="C712" s="35">
        <v>22</v>
      </c>
      <c r="D712" s="35">
        <v>1982</v>
      </c>
      <c r="E712" s="75">
        <v>31</v>
      </c>
      <c r="F712" s="75">
        <v>1.956</v>
      </c>
      <c r="G712" s="75">
        <v>3.52</v>
      </c>
      <c r="H712" s="75">
        <v>25.524</v>
      </c>
      <c r="I712" s="70">
        <v>1153.74</v>
      </c>
      <c r="J712" s="75">
        <v>25.5</v>
      </c>
      <c r="K712" s="70">
        <v>1153.7</v>
      </c>
      <c r="L712" s="64">
        <f>J712/K712</f>
        <v>0.022102799687960473</v>
      </c>
      <c r="M712" s="36">
        <v>224.1</v>
      </c>
      <c r="N712" s="65">
        <f>L712*M712</f>
        <v>4.953237410071941</v>
      </c>
      <c r="O712" s="65">
        <f>L712*60*1000</f>
        <v>1326.1679812776283</v>
      </c>
      <c r="P712" s="66">
        <f>O712*M712/1000</f>
        <v>297.1942446043165</v>
      </c>
      <c r="R712" s="10"/>
      <c r="S712" s="10"/>
    </row>
    <row r="713" spans="1:19" s="9" customFormat="1" ht="12.75" customHeight="1">
      <c r="A713" s="380"/>
      <c r="B713" s="217" t="s">
        <v>210</v>
      </c>
      <c r="C713" s="268">
        <v>11</v>
      </c>
      <c r="D713" s="218">
        <v>1976</v>
      </c>
      <c r="E713" s="219">
        <v>10.971601000000001</v>
      </c>
      <c r="F713" s="220">
        <v>0</v>
      </c>
      <c r="G713" s="220">
        <v>0</v>
      </c>
      <c r="H713" s="220">
        <v>10.971601000000001</v>
      </c>
      <c r="I713" s="221">
        <v>543.66</v>
      </c>
      <c r="J713" s="220">
        <v>10.971601000000001</v>
      </c>
      <c r="K713" s="221">
        <v>496.05</v>
      </c>
      <c r="L713" s="222">
        <v>0.022117933676040723</v>
      </c>
      <c r="M713" s="223">
        <v>314.574</v>
      </c>
      <c r="N713" s="224">
        <v>6.9577268682068345</v>
      </c>
      <c r="O713" s="224">
        <v>1327.0760205624435</v>
      </c>
      <c r="P713" s="225">
        <v>417.46361209241013</v>
      </c>
      <c r="R713" s="10"/>
      <c r="S713" s="10"/>
    </row>
    <row r="714" spans="1:19" s="9" customFormat="1" ht="12.75">
      <c r="A714" s="380"/>
      <c r="B714" s="67" t="s">
        <v>976</v>
      </c>
      <c r="C714" s="35">
        <v>9</v>
      </c>
      <c r="D714" s="35">
        <v>1967</v>
      </c>
      <c r="E714" s="75">
        <v>10.018</v>
      </c>
      <c r="F714" s="75">
        <v>0.664</v>
      </c>
      <c r="G714" s="75">
        <v>0.144</v>
      </c>
      <c r="H714" s="75">
        <v>9.21</v>
      </c>
      <c r="I714" s="70">
        <v>416.33</v>
      </c>
      <c r="J714" s="75">
        <v>9.21</v>
      </c>
      <c r="K714" s="70">
        <v>416.33</v>
      </c>
      <c r="L714" s="64">
        <f>J714/K714</f>
        <v>0.02212187447457546</v>
      </c>
      <c r="M714" s="36">
        <v>298.987</v>
      </c>
      <c r="N714" s="65">
        <f>L714*M714</f>
        <v>6.6141528835298935</v>
      </c>
      <c r="O714" s="65">
        <f>L714*60*1000</f>
        <v>1327.3124684745273</v>
      </c>
      <c r="P714" s="66">
        <f>O714*M714/1000</f>
        <v>396.84917301179354</v>
      </c>
      <c r="R714" s="10"/>
      <c r="S714" s="10"/>
    </row>
    <row r="715" spans="1:19" s="9" customFormat="1" ht="12.75" customHeight="1">
      <c r="A715" s="380"/>
      <c r="B715" s="67" t="s">
        <v>405</v>
      </c>
      <c r="C715" s="35">
        <v>25</v>
      </c>
      <c r="D715" s="35" t="s">
        <v>24</v>
      </c>
      <c r="E715" s="75">
        <v>29.8</v>
      </c>
      <c r="F715" s="75">
        <f>21.95*0.051</f>
        <v>1.1194499999999998</v>
      </c>
      <c r="G715" s="75">
        <v>3.6</v>
      </c>
      <c r="H715" s="75">
        <f>+E715-F715-G715</f>
        <v>25.08055</v>
      </c>
      <c r="I715" s="263"/>
      <c r="J715" s="75">
        <f>+H715</f>
        <v>25.08055</v>
      </c>
      <c r="K715" s="70">
        <v>1133.69</v>
      </c>
      <c r="L715" s="64">
        <f>J715/K715</f>
        <v>0.022122934841094125</v>
      </c>
      <c r="M715" s="36">
        <v>343.2</v>
      </c>
      <c r="N715" s="65">
        <f>L715*M715</f>
        <v>7.592591237463504</v>
      </c>
      <c r="O715" s="65">
        <f>L715*60*1000</f>
        <v>1327.3760904656476</v>
      </c>
      <c r="P715" s="66">
        <f>O715*M715/1000</f>
        <v>455.55547424781025</v>
      </c>
      <c r="Q715" s="11"/>
      <c r="R715" s="39"/>
      <c r="S715" s="10"/>
    </row>
    <row r="716" spans="1:19" s="9" customFormat="1" ht="12.75">
      <c r="A716" s="380"/>
      <c r="B716" s="46" t="s">
        <v>733</v>
      </c>
      <c r="C716" s="25">
        <v>18</v>
      </c>
      <c r="D716" s="25" t="s">
        <v>24</v>
      </c>
      <c r="E716" s="76">
        <f>F716+G716+H716</f>
        <v>19.22</v>
      </c>
      <c r="F716" s="76">
        <v>1.7376</v>
      </c>
      <c r="G716" s="76">
        <v>0</v>
      </c>
      <c r="H716" s="76">
        <v>17.4824</v>
      </c>
      <c r="I716" s="38">
        <v>788.28</v>
      </c>
      <c r="J716" s="76">
        <v>17.4824</v>
      </c>
      <c r="K716" s="38">
        <v>788.29</v>
      </c>
      <c r="L716" s="47">
        <f>J716/K716</f>
        <v>0.022177624985728603</v>
      </c>
      <c r="M716" s="30">
        <v>210</v>
      </c>
      <c r="N716" s="30">
        <f>L716*M716</f>
        <v>4.657301247003007</v>
      </c>
      <c r="O716" s="30">
        <f>L716*1000*60</f>
        <v>1330.6574991437162</v>
      </c>
      <c r="P716" s="48">
        <f>N716*60</f>
        <v>279.4380748201804</v>
      </c>
      <c r="Q716" s="11"/>
      <c r="R716" s="10"/>
      <c r="S716" s="10"/>
    </row>
    <row r="717" spans="1:19" s="9" customFormat="1" ht="12.75" customHeight="1">
      <c r="A717" s="380"/>
      <c r="B717" s="46" t="s">
        <v>169</v>
      </c>
      <c r="C717" s="25">
        <v>6</v>
      </c>
      <c r="D717" s="25">
        <v>1956</v>
      </c>
      <c r="E717" s="76">
        <v>6.8</v>
      </c>
      <c r="F717" s="76"/>
      <c r="G717" s="76"/>
      <c r="H717" s="76">
        <f>E717-F717-G717</f>
        <v>6.8</v>
      </c>
      <c r="I717" s="38">
        <v>306.57</v>
      </c>
      <c r="J717" s="76">
        <v>6.8</v>
      </c>
      <c r="K717" s="38">
        <v>306.57</v>
      </c>
      <c r="L717" s="47">
        <f>J717/K717</f>
        <v>0.022180904850441985</v>
      </c>
      <c r="M717" s="30">
        <v>264.761</v>
      </c>
      <c r="N717" s="30">
        <f>L717*M717</f>
        <v>5.872638549107871</v>
      </c>
      <c r="O717" s="30">
        <f>L717*1000*60</f>
        <v>1330.8542910265191</v>
      </c>
      <c r="P717" s="48">
        <f>N717*60</f>
        <v>352.35831294647227</v>
      </c>
      <c r="R717" s="10"/>
      <c r="S717" s="10"/>
    </row>
    <row r="718" spans="1:19" s="9" customFormat="1" ht="12.75" customHeight="1">
      <c r="A718" s="380"/>
      <c r="B718" s="46" t="s">
        <v>158</v>
      </c>
      <c r="C718" s="25">
        <v>5</v>
      </c>
      <c r="D718" s="25" t="s">
        <v>24</v>
      </c>
      <c r="E718" s="76">
        <f>F718+G718+H718</f>
        <v>7.631</v>
      </c>
      <c r="F718" s="76">
        <v>0.5045</v>
      </c>
      <c r="G718" s="76">
        <v>0.8</v>
      </c>
      <c r="H718" s="76">
        <v>6.3265</v>
      </c>
      <c r="I718" s="38">
        <v>285.14</v>
      </c>
      <c r="J718" s="76">
        <v>6.3265</v>
      </c>
      <c r="K718" s="38">
        <v>285.14</v>
      </c>
      <c r="L718" s="47">
        <f>J718/K718</f>
        <v>0.022187346566598865</v>
      </c>
      <c r="M718" s="30">
        <v>210</v>
      </c>
      <c r="N718" s="30">
        <f>L718*M718</f>
        <v>4.659342778985762</v>
      </c>
      <c r="O718" s="30">
        <f>L718*1000*60</f>
        <v>1331.2407939959319</v>
      </c>
      <c r="P718" s="48">
        <f>N718*60</f>
        <v>279.5605667391457</v>
      </c>
      <c r="Q718" s="11"/>
      <c r="R718" s="10"/>
      <c r="S718" s="10"/>
    </row>
    <row r="719" spans="1:19" s="9" customFormat="1" ht="12.75" customHeight="1">
      <c r="A719" s="380"/>
      <c r="B719" s="67" t="s">
        <v>645</v>
      </c>
      <c r="C719" s="35">
        <v>10</v>
      </c>
      <c r="D719" s="35">
        <v>1958</v>
      </c>
      <c r="E719" s="75">
        <v>12.7434</v>
      </c>
      <c r="F719" s="75">
        <v>1.122</v>
      </c>
      <c r="G719" s="75">
        <v>1.52</v>
      </c>
      <c r="H719" s="75">
        <v>10.1014</v>
      </c>
      <c r="I719" s="70">
        <v>454.98</v>
      </c>
      <c r="J719" s="75">
        <v>10.1014</v>
      </c>
      <c r="K719" s="70">
        <v>454.98</v>
      </c>
      <c r="L719" s="64">
        <v>0.022201</v>
      </c>
      <c r="M719" s="36">
        <v>277.1</v>
      </c>
      <c r="N719" s="65">
        <f>L719*M719*1.09</f>
        <v>6.705567839</v>
      </c>
      <c r="O719" s="65">
        <f>L719*60*1000</f>
        <v>1332.0599999999997</v>
      </c>
      <c r="P719" s="66">
        <f>M719*O719/1000</f>
        <v>369.11382599999996</v>
      </c>
      <c r="R719" s="10"/>
      <c r="S719" s="10"/>
    </row>
    <row r="720" spans="1:19" s="9" customFormat="1" ht="12.75" customHeight="1">
      <c r="A720" s="380"/>
      <c r="B720" s="67" t="s">
        <v>646</v>
      </c>
      <c r="C720" s="35">
        <v>12</v>
      </c>
      <c r="D720" s="35">
        <v>1971</v>
      </c>
      <c r="E720" s="75">
        <v>11.972999</v>
      </c>
      <c r="F720" s="75">
        <v>0</v>
      </c>
      <c r="G720" s="75">
        <v>0</v>
      </c>
      <c r="H720" s="75">
        <v>11.972999</v>
      </c>
      <c r="I720" s="70">
        <v>538.8</v>
      </c>
      <c r="J720" s="75">
        <v>11.972999</v>
      </c>
      <c r="K720" s="70">
        <v>538.8</v>
      </c>
      <c r="L720" s="64">
        <v>0.022221</v>
      </c>
      <c r="M720" s="36">
        <v>277.1</v>
      </c>
      <c r="N720" s="65">
        <f>L720*M720*1.09</f>
        <v>6.711608619000001</v>
      </c>
      <c r="O720" s="65">
        <f>L720*60*1000</f>
        <v>1333.2600000000002</v>
      </c>
      <c r="P720" s="66">
        <f>M720*O720/1000</f>
        <v>369.44634600000006</v>
      </c>
      <c r="Q720" s="11"/>
      <c r="R720" s="10"/>
      <c r="S720" s="10"/>
    </row>
    <row r="721" spans="1:19" s="9" customFormat="1" ht="12.75" customHeight="1">
      <c r="A721" s="380"/>
      <c r="B721" s="67" t="s">
        <v>414</v>
      </c>
      <c r="C721" s="35">
        <v>20</v>
      </c>
      <c r="D721" s="35">
        <v>1984</v>
      </c>
      <c r="E721" s="75">
        <v>28.93</v>
      </c>
      <c r="F721" s="75">
        <v>2.09</v>
      </c>
      <c r="G721" s="75">
        <v>3.2</v>
      </c>
      <c r="H721" s="75">
        <v>23.6</v>
      </c>
      <c r="I721" s="263"/>
      <c r="J721" s="75">
        <f>H721</f>
        <v>23.6</v>
      </c>
      <c r="K721" s="70">
        <v>1062</v>
      </c>
      <c r="L721" s="64">
        <f>J721/K721</f>
        <v>0.022222222222222223</v>
      </c>
      <c r="M721" s="36">
        <v>187.69</v>
      </c>
      <c r="N721" s="65">
        <f>L721*M721</f>
        <v>4.170888888888889</v>
      </c>
      <c r="O721" s="65">
        <f>L721*60*1000</f>
        <v>1333.3333333333335</v>
      </c>
      <c r="P721" s="66">
        <f>O721*M721/1000</f>
        <v>250.25333333333336</v>
      </c>
      <c r="R721" s="10"/>
      <c r="S721" s="10"/>
    </row>
    <row r="722" spans="1:19" s="9" customFormat="1" ht="12.75" customHeight="1">
      <c r="A722" s="380"/>
      <c r="B722" s="67" t="s">
        <v>545</v>
      </c>
      <c r="C722" s="35">
        <v>8</v>
      </c>
      <c r="D722" s="35">
        <v>1961</v>
      </c>
      <c r="E722" s="75">
        <v>8.3</v>
      </c>
      <c r="F722" s="75">
        <v>0.1</v>
      </c>
      <c r="G722" s="75">
        <v>0.3</v>
      </c>
      <c r="H722" s="75">
        <v>7.9</v>
      </c>
      <c r="I722" s="70">
        <v>355</v>
      </c>
      <c r="J722" s="75">
        <v>7.9</v>
      </c>
      <c r="K722" s="70">
        <v>355</v>
      </c>
      <c r="L722" s="64">
        <f>J722/K722</f>
        <v>0.022253521126760566</v>
      </c>
      <c r="M722" s="36">
        <v>250.6</v>
      </c>
      <c r="N722" s="65">
        <f>L722*M722</f>
        <v>5.576732394366197</v>
      </c>
      <c r="O722" s="65">
        <f>L722*60*1000</f>
        <v>1335.211267605634</v>
      </c>
      <c r="P722" s="66">
        <f>O722*M722/1000</f>
        <v>334.60394366197187</v>
      </c>
      <c r="R722" s="10"/>
      <c r="S722" s="10"/>
    </row>
    <row r="723" spans="1:19" s="9" customFormat="1" ht="12.75" customHeight="1">
      <c r="A723" s="380"/>
      <c r="B723" s="46" t="s">
        <v>66</v>
      </c>
      <c r="C723" s="25">
        <v>103</v>
      </c>
      <c r="D723" s="25">
        <v>1972</v>
      </c>
      <c r="E723" s="76">
        <v>81.39</v>
      </c>
      <c r="F723" s="76">
        <v>8.55</v>
      </c>
      <c r="G723" s="76">
        <v>15.9</v>
      </c>
      <c r="H723" s="76">
        <f>E723-F723-G723</f>
        <v>56.940000000000005</v>
      </c>
      <c r="I723" s="38">
        <v>2557.5</v>
      </c>
      <c r="J723" s="76">
        <f>H723/I723*K723</f>
        <v>54.4130439882698</v>
      </c>
      <c r="K723" s="25">
        <v>2444</v>
      </c>
      <c r="L723" s="47">
        <f>J723/K723</f>
        <v>0.02226392961876833</v>
      </c>
      <c r="M723" s="141">
        <f>294.4*1.09</f>
        <v>320.896</v>
      </c>
      <c r="N723" s="30">
        <f>L723*M723</f>
        <v>7.144405958944282</v>
      </c>
      <c r="O723" s="30">
        <f>L723*60*1000</f>
        <v>1335.8357771260999</v>
      </c>
      <c r="P723" s="48">
        <f>O723*M723/1000</f>
        <v>428.66435753665695</v>
      </c>
      <c r="Q723" s="11"/>
      <c r="R723" s="10"/>
      <c r="S723" s="10"/>
    </row>
    <row r="724" spans="1:19" s="9" customFormat="1" ht="12.75">
      <c r="A724" s="380"/>
      <c r="B724" s="321" t="s">
        <v>1031</v>
      </c>
      <c r="C724" s="312">
        <v>13</v>
      </c>
      <c r="D724" s="313" t="s">
        <v>24</v>
      </c>
      <c r="E724" s="314">
        <v>18.4</v>
      </c>
      <c r="F724" s="314">
        <v>0.8</v>
      </c>
      <c r="G724" s="315">
        <v>0.18</v>
      </c>
      <c r="H724" s="314">
        <v>17.42</v>
      </c>
      <c r="I724" s="316">
        <v>773.05</v>
      </c>
      <c r="J724" s="314">
        <v>12.29</v>
      </c>
      <c r="K724" s="317">
        <v>550.52</v>
      </c>
      <c r="L724" s="64">
        <f>J724/K724</f>
        <v>0.022324347889268327</v>
      </c>
      <c r="M724" s="36">
        <v>269.2</v>
      </c>
      <c r="N724" s="65">
        <f>L724*M724</f>
        <v>6.009714451791034</v>
      </c>
      <c r="O724" s="65">
        <f>L724*60*1000</f>
        <v>1339.4608733560995</v>
      </c>
      <c r="P724" s="66">
        <f>O724*M724/1000</f>
        <v>360.58286710746194</v>
      </c>
      <c r="R724" s="10"/>
      <c r="S724" s="10"/>
    </row>
    <row r="725" spans="1:16" s="9" customFormat="1" ht="12.75" customHeight="1">
      <c r="A725" s="380"/>
      <c r="B725" s="321" t="s">
        <v>1032</v>
      </c>
      <c r="C725" s="312">
        <v>65</v>
      </c>
      <c r="D725" s="313" t="s">
        <v>24</v>
      </c>
      <c r="E725" s="314">
        <v>25.1</v>
      </c>
      <c r="F725" s="314">
        <v>2.11</v>
      </c>
      <c r="G725" s="315">
        <v>0.65</v>
      </c>
      <c r="H725" s="314">
        <v>22.34</v>
      </c>
      <c r="I725" s="316">
        <v>998.65</v>
      </c>
      <c r="J725" s="314">
        <v>21.96</v>
      </c>
      <c r="K725" s="317">
        <v>981.67</v>
      </c>
      <c r="L725" s="64">
        <f>J725/K725</f>
        <v>0.022370042886102257</v>
      </c>
      <c r="M725" s="36">
        <v>269.2</v>
      </c>
      <c r="N725" s="65">
        <f>L725*M725</f>
        <v>6.022015544938728</v>
      </c>
      <c r="O725" s="65">
        <f>L725*60*1000</f>
        <v>1342.2025731661354</v>
      </c>
      <c r="P725" s="66">
        <f>O725*M725/1000</f>
        <v>361.3209326963236</v>
      </c>
    </row>
    <row r="726" spans="1:19" s="9" customFormat="1" ht="12.75">
      <c r="A726" s="380"/>
      <c r="B726" s="67" t="s">
        <v>778</v>
      </c>
      <c r="C726" s="35">
        <v>8</v>
      </c>
      <c r="D726" s="35">
        <v>1959</v>
      </c>
      <c r="E726" s="75">
        <v>9.7</v>
      </c>
      <c r="F726" s="75">
        <v>0.255</v>
      </c>
      <c r="G726" s="75">
        <v>1.28</v>
      </c>
      <c r="H726" s="75">
        <v>8.065</v>
      </c>
      <c r="I726" s="70">
        <v>361.47</v>
      </c>
      <c r="J726" s="75">
        <v>8.1</v>
      </c>
      <c r="K726" s="70">
        <v>361.5</v>
      </c>
      <c r="L726" s="64">
        <f>J726/K726</f>
        <v>0.022406639004149378</v>
      </c>
      <c r="M726" s="36">
        <v>224.1</v>
      </c>
      <c r="N726" s="65">
        <f>L726*M726</f>
        <v>5.021327800829876</v>
      </c>
      <c r="O726" s="65">
        <f>L726*60*1000</f>
        <v>1344.3983402489628</v>
      </c>
      <c r="P726" s="66">
        <f>O726*M726/1000</f>
        <v>301.2796680497925</v>
      </c>
      <c r="R726" s="10"/>
      <c r="S726" s="10"/>
    </row>
    <row r="727" spans="1:19" s="9" customFormat="1" ht="12.75">
      <c r="A727" s="380"/>
      <c r="B727" s="256" t="s">
        <v>925</v>
      </c>
      <c r="C727" s="35">
        <v>24</v>
      </c>
      <c r="D727" s="35">
        <v>1971</v>
      </c>
      <c r="E727" s="251">
        <f>F727+G727+H727</f>
        <v>28.5</v>
      </c>
      <c r="F727" s="251">
        <v>2.58</v>
      </c>
      <c r="G727" s="251">
        <v>0.24</v>
      </c>
      <c r="H727" s="251">
        <v>25.68</v>
      </c>
      <c r="I727" s="252">
        <v>1271.24</v>
      </c>
      <c r="J727" s="251">
        <f>E727</f>
        <v>28.5</v>
      </c>
      <c r="K727" s="252">
        <v>1271.24</v>
      </c>
      <c r="L727" s="253">
        <f>J727/K727</f>
        <v>0.022419055410465374</v>
      </c>
      <c r="M727" s="258">
        <v>244.38</v>
      </c>
      <c r="N727" s="254">
        <f>L727*M727</f>
        <v>5.478768761209528</v>
      </c>
      <c r="O727" s="254">
        <f>L727*60*1000</f>
        <v>1345.1433246279225</v>
      </c>
      <c r="P727" s="255">
        <f>O727*M727/1000</f>
        <v>328.7261256725717</v>
      </c>
      <c r="R727" s="10"/>
      <c r="S727" s="10"/>
    </row>
    <row r="728" spans="1:19" s="9" customFormat="1" ht="12.75">
      <c r="A728" s="380"/>
      <c r="B728" s="67" t="s">
        <v>253</v>
      </c>
      <c r="C728" s="35">
        <v>15</v>
      </c>
      <c r="D728" s="35" t="s">
        <v>24</v>
      </c>
      <c r="E728" s="75">
        <v>22.1</v>
      </c>
      <c r="F728" s="75">
        <f>22.5*0.051</f>
        <v>1.1475</v>
      </c>
      <c r="G728" s="75">
        <f>15*0.16</f>
        <v>2.4</v>
      </c>
      <c r="H728" s="75">
        <f>+E728-F728-G728</f>
        <v>18.552500000000002</v>
      </c>
      <c r="I728" s="67"/>
      <c r="J728" s="75">
        <f>+H728</f>
        <v>18.552500000000002</v>
      </c>
      <c r="K728" s="70">
        <v>826.86</v>
      </c>
      <c r="L728" s="64">
        <f>J728/K728</f>
        <v>0.022437292891178677</v>
      </c>
      <c r="M728" s="36">
        <v>343.2</v>
      </c>
      <c r="N728" s="65">
        <f>L728*M728</f>
        <v>7.700478920252522</v>
      </c>
      <c r="O728" s="65">
        <f>L728*60*1000</f>
        <v>1346.2375734707207</v>
      </c>
      <c r="P728" s="66">
        <f>O728*M728/1000</f>
        <v>462.02873521515136</v>
      </c>
      <c r="R728" s="10"/>
      <c r="S728" s="10"/>
    </row>
    <row r="729" spans="1:19" s="9" customFormat="1" ht="12.75">
      <c r="A729" s="380"/>
      <c r="B729" s="67" t="s">
        <v>585</v>
      </c>
      <c r="C729" s="35">
        <v>45</v>
      </c>
      <c r="D729" s="35">
        <v>1986</v>
      </c>
      <c r="E729" s="75">
        <v>58.61356</v>
      </c>
      <c r="F729" s="75">
        <v>6.94353</v>
      </c>
      <c r="G729" s="75">
        <v>3.57</v>
      </c>
      <c r="H729" s="75">
        <f>E729-F729-G729</f>
        <v>48.10003</v>
      </c>
      <c r="I729" s="70">
        <v>2141.72</v>
      </c>
      <c r="J729" s="75">
        <f>H729</f>
        <v>48.10003</v>
      </c>
      <c r="K729" s="70">
        <f>I729</f>
        <v>2141.72</v>
      </c>
      <c r="L729" s="64">
        <f>J729/K729</f>
        <v>0.022458598696374878</v>
      </c>
      <c r="M729" s="36">
        <v>279.5</v>
      </c>
      <c r="N729" s="65">
        <f>L729*M729</f>
        <v>6.277178335636778</v>
      </c>
      <c r="O729" s="65">
        <f>L729*60*1000</f>
        <v>1347.5159217824926</v>
      </c>
      <c r="P729" s="66">
        <f>O729*M729/1000</f>
        <v>376.63070013820663</v>
      </c>
      <c r="R729" s="10"/>
      <c r="S729" s="10"/>
    </row>
    <row r="730" spans="1:19" s="9" customFormat="1" ht="12.75">
      <c r="A730" s="380"/>
      <c r="B730" s="67" t="s">
        <v>948</v>
      </c>
      <c r="C730" s="35">
        <v>18</v>
      </c>
      <c r="D730" s="35">
        <v>1982</v>
      </c>
      <c r="E730" s="75">
        <v>34.886</v>
      </c>
      <c r="F730" s="75">
        <v>1.806</v>
      </c>
      <c r="G730" s="75">
        <v>2.88</v>
      </c>
      <c r="H730" s="75">
        <v>21.607</v>
      </c>
      <c r="I730" s="70">
        <v>960.42</v>
      </c>
      <c r="J730" s="75">
        <v>21.607</v>
      </c>
      <c r="K730" s="70">
        <v>960.42</v>
      </c>
      <c r="L730" s="64">
        <f>J730/K730</f>
        <v>0.022497449032714854</v>
      </c>
      <c r="M730" s="36">
        <v>201.868</v>
      </c>
      <c r="N730" s="65">
        <f>L730*M730</f>
        <v>4.5415150413360825</v>
      </c>
      <c r="O730" s="65">
        <f>L730*60*1000</f>
        <v>1349.8469419628914</v>
      </c>
      <c r="P730" s="66">
        <f>O730*M730/1000</f>
        <v>272.49090248016495</v>
      </c>
      <c r="R730" s="10"/>
      <c r="S730" s="10"/>
    </row>
    <row r="731" spans="1:19" s="9" customFormat="1" ht="12.75">
      <c r="A731" s="380"/>
      <c r="B731" s="121" t="s">
        <v>616</v>
      </c>
      <c r="C731" s="35">
        <v>63</v>
      </c>
      <c r="D731" s="35">
        <v>1973</v>
      </c>
      <c r="E731" s="75">
        <v>44.053</v>
      </c>
      <c r="F731" s="75">
        <v>5.049</v>
      </c>
      <c r="G731" s="75">
        <v>0.62</v>
      </c>
      <c r="H731" s="75">
        <v>38.384</v>
      </c>
      <c r="I731" s="36">
        <v>1706.1</v>
      </c>
      <c r="J731" s="75">
        <v>38.384</v>
      </c>
      <c r="K731" s="36">
        <v>1706.1</v>
      </c>
      <c r="L731" s="64">
        <f>J731/K731</f>
        <v>0.022498095070628922</v>
      </c>
      <c r="M731" s="36">
        <v>302.3</v>
      </c>
      <c r="N731" s="65">
        <f>L731*M731</f>
        <v>6.801174139851123</v>
      </c>
      <c r="O731" s="65">
        <f>L731*60*1000</f>
        <v>1349.8857042377354</v>
      </c>
      <c r="P731" s="66">
        <f>O731*M731/1000</f>
        <v>408.0704483910674</v>
      </c>
      <c r="R731" s="10"/>
      <c r="S731" s="10"/>
    </row>
    <row r="732" spans="1:19" s="9" customFormat="1" ht="11.25" customHeight="1">
      <c r="A732" s="380"/>
      <c r="B732" s="217" t="s">
        <v>138</v>
      </c>
      <c r="C732" s="268">
        <v>48</v>
      </c>
      <c r="D732" s="218">
        <v>1964</v>
      </c>
      <c r="E732" s="219">
        <v>23.100407</v>
      </c>
      <c r="F732" s="220">
        <v>3.61794</v>
      </c>
      <c r="G732" s="220">
        <v>0</v>
      </c>
      <c r="H732" s="220">
        <v>19.482467</v>
      </c>
      <c r="I732" s="221">
        <v>1215.63</v>
      </c>
      <c r="J732" s="220">
        <v>19.482467</v>
      </c>
      <c r="K732" s="221">
        <v>863.98</v>
      </c>
      <c r="L732" s="222">
        <v>0.02254967360355564</v>
      </c>
      <c r="M732" s="223">
        <v>314.574</v>
      </c>
      <c r="N732" s="224">
        <v>7.093541024164912</v>
      </c>
      <c r="O732" s="224">
        <v>1352.9804162133382</v>
      </c>
      <c r="P732" s="225">
        <v>425.6124614498947</v>
      </c>
      <c r="R732" s="10"/>
      <c r="S732" s="10"/>
    </row>
    <row r="733" spans="1:19" s="9" customFormat="1" ht="12.75" customHeight="1">
      <c r="A733" s="380"/>
      <c r="B733" s="256" t="s">
        <v>926</v>
      </c>
      <c r="C733" s="35">
        <v>20</v>
      </c>
      <c r="D733" s="35">
        <v>1970</v>
      </c>
      <c r="E733" s="251">
        <f>F733+G733+H733</f>
        <v>21.6</v>
      </c>
      <c r="F733" s="251">
        <v>1.28</v>
      </c>
      <c r="G733" s="251">
        <v>3.2</v>
      </c>
      <c r="H733" s="251">
        <v>17.12</v>
      </c>
      <c r="I733" s="252">
        <v>957.46</v>
      </c>
      <c r="J733" s="251">
        <f>E733</f>
        <v>21.6</v>
      </c>
      <c r="K733" s="252">
        <v>957.46</v>
      </c>
      <c r="L733" s="253">
        <f>J733/K733</f>
        <v>0.022559689177615777</v>
      </c>
      <c r="M733" s="258">
        <v>244.38</v>
      </c>
      <c r="N733" s="254">
        <f>L733*M733</f>
        <v>5.5131368412257435</v>
      </c>
      <c r="O733" s="254">
        <f>L733*60*1000</f>
        <v>1353.5813506569468</v>
      </c>
      <c r="P733" s="255">
        <f>O733*M733/1000</f>
        <v>330.78821047354467</v>
      </c>
      <c r="R733" s="10"/>
      <c r="S733" s="10"/>
    </row>
    <row r="734" spans="1:19" s="9" customFormat="1" ht="12.75" customHeight="1">
      <c r="A734" s="380"/>
      <c r="B734" s="67" t="s">
        <v>458</v>
      </c>
      <c r="C734" s="35">
        <v>12</v>
      </c>
      <c r="D734" s="35" t="s">
        <v>24</v>
      </c>
      <c r="E734" s="75">
        <v>13.99</v>
      </c>
      <c r="F734" s="75">
        <v>0.3</v>
      </c>
      <c r="G734" s="75">
        <v>0.12</v>
      </c>
      <c r="H734" s="75">
        <v>13.57</v>
      </c>
      <c r="I734" s="70">
        <v>601</v>
      </c>
      <c r="J734" s="75">
        <v>13.57</v>
      </c>
      <c r="K734" s="70">
        <v>601</v>
      </c>
      <c r="L734" s="64">
        <f>J734/K734</f>
        <v>0.022579034941763727</v>
      </c>
      <c r="M734" s="36">
        <v>234.2</v>
      </c>
      <c r="N734" s="65">
        <f>L734*M734</f>
        <v>5.288009983361064</v>
      </c>
      <c r="O734" s="65">
        <f>L734*60*1000</f>
        <v>1354.7420965058236</v>
      </c>
      <c r="P734" s="66">
        <f>O734*M734/1000</f>
        <v>317.28059900166386</v>
      </c>
      <c r="R734" s="10"/>
      <c r="S734" s="10"/>
    </row>
    <row r="735" spans="1:19" s="9" customFormat="1" ht="12.75" customHeight="1">
      <c r="A735" s="380"/>
      <c r="B735" s="67" t="s">
        <v>849</v>
      </c>
      <c r="C735" s="35">
        <v>14</v>
      </c>
      <c r="D735" s="35">
        <v>1986</v>
      </c>
      <c r="E735" s="75">
        <v>22.6</v>
      </c>
      <c r="F735" s="75">
        <v>1.529</v>
      </c>
      <c r="G735" s="75">
        <v>2.24</v>
      </c>
      <c r="H735" s="75">
        <v>18.83</v>
      </c>
      <c r="I735" s="120" t="s">
        <v>838</v>
      </c>
      <c r="J735" s="75">
        <v>18.83</v>
      </c>
      <c r="K735" s="70">
        <v>833.45</v>
      </c>
      <c r="L735" s="64">
        <f>J735/K735</f>
        <v>0.022592837002819603</v>
      </c>
      <c r="M735" s="36">
        <v>346.4</v>
      </c>
      <c r="N735" s="65">
        <f>L735*M735</f>
        <v>7.82615873777671</v>
      </c>
      <c r="O735" s="65">
        <f>L735*60*1000</f>
        <v>1355.570220169176</v>
      </c>
      <c r="P735" s="66">
        <f>O735*M735/1000</f>
        <v>469.56952426660257</v>
      </c>
      <c r="Q735" s="11"/>
      <c r="R735" s="10"/>
      <c r="S735" s="10"/>
    </row>
    <row r="736" spans="1:19" s="9" customFormat="1" ht="12.75" customHeight="1">
      <c r="A736" s="380"/>
      <c r="B736" s="67" t="s">
        <v>779</v>
      </c>
      <c r="C736" s="35">
        <v>11</v>
      </c>
      <c r="D736" s="35">
        <v>1961</v>
      </c>
      <c r="E736" s="75">
        <v>14.9</v>
      </c>
      <c r="F736" s="75">
        <v>0.902</v>
      </c>
      <c r="G736" s="75">
        <v>1.52</v>
      </c>
      <c r="H736" s="75">
        <v>12.478</v>
      </c>
      <c r="I736" s="70">
        <v>552.31</v>
      </c>
      <c r="J736" s="75">
        <v>12.5</v>
      </c>
      <c r="K736" s="70">
        <v>552.3</v>
      </c>
      <c r="L736" s="64">
        <f>J736/K736</f>
        <v>0.02263262719536484</v>
      </c>
      <c r="M736" s="36">
        <v>224.1</v>
      </c>
      <c r="N736" s="65">
        <f>L736*M736</f>
        <v>5.071971754481261</v>
      </c>
      <c r="O736" s="65">
        <f>L736*60*1000</f>
        <v>1357.9576317218905</v>
      </c>
      <c r="P736" s="66">
        <f>O736*M736/1000</f>
        <v>304.3183052688757</v>
      </c>
      <c r="R736" s="10"/>
      <c r="S736" s="10"/>
    </row>
    <row r="737" spans="1:19" s="9" customFormat="1" ht="12.75" customHeight="1">
      <c r="A737" s="380"/>
      <c r="B737" s="217" t="s">
        <v>137</v>
      </c>
      <c r="C737" s="268">
        <v>19</v>
      </c>
      <c r="D737" s="218">
        <v>1980</v>
      </c>
      <c r="E737" s="219">
        <v>26.221719000000004</v>
      </c>
      <c r="F737" s="220">
        <v>1.173</v>
      </c>
      <c r="G737" s="220">
        <v>3.04</v>
      </c>
      <c r="H737" s="220">
        <v>22.008719000000003</v>
      </c>
      <c r="I737" s="221">
        <v>1049.46</v>
      </c>
      <c r="J737" s="220">
        <v>22.008719000000003</v>
      </c>
      <c r="K737" s="221">
        <v>972.23</v>
      </c>
      <c r="L737" s="222">
        <v>0.022637358443989595</v>
      </c>
      <c r="M737" s="223">
        <v>314.574</v>
      </c>
      <c r="N737" s="224">
        <v>7.121124395159583</v>
      </c>
      <c r="O737" s="224">
        <v>1358.2415066393755</v>
      </c>
      <c r="P737" s="225">
        <v>427.26746370957494</v>
      </c>
      <c r="R737" s="10"/>
      <c r="S737" s="10"/>
    </row>
    <row r="738" spans="1:19" s="9" customFormat="1" ht="12.75" customHeight="1">
      <c r="A738" s="380"/>
      <c r="B738" s="46" t="s">
        <v>226</v>
      </c>
      <c r="C738" s="25">
        <v>5</v>
      </c>
      <c r="D738" s="25" t="s">
        <v>24</v>
      </c>
      <c r="E738" s="76">
        <f>F738+G738+H738</f>
        <v>5.497</v>
      </c>
      <c r="F738" s="76">
        <v>0.3363</v>
      </c>
      <c r="G738" s="76">
        <v>0.8</v>
      </c>
      <c r="H738" s="76">
        <v>4.3607</v>
      </c>
      <c r="I738" s="38">
        <v>192.6</v>
      </c>
      <c r="J738" s="76">
        <v>4.3607</v>
      </c>
      <c r="K738" s="38">
        <v>192.6</v>
      </c>
      <c r="L738" s="47">
        <f>J738/K738</f>
        <v>0.02264122533748702</v>
      </c>
      <c r="M738" s="30">
        <v>210</v>
      </c>
      <c r="N738" s="30">
        <f>L738*M738</f>
        <v>4.7546573208722736</v>
      </c>
      <c r="O738" s="30">
        <f>L738*1000*60</f>
        <v>1358.473520249221</v>
      </c>
      <c r="P738" s="48">
        <f>N738*60</f>
        <v>285.27943925233643</v>
      </c>
      <c r="R738" s="10"/>
      <c r="S738" s="10"/>
    </row>
    <row r="739" spans="1:19" s="9" customFormat="1" ht="12.75" customHeight="1">
      <c r="A739" s="380"/>
      <c r="B739" s="67" t="s">
        <v>523</v>
      </c>
      <c r="C739" s="35">
        <v>7</v>
      </c>
      <c r="D739" s="35" t="s">
        <v>24</v>
      </c>
      <c r="E739" s="75">
        <v>8.3</v>
      </c>
      <c r="F739" s="75"/>
      <c r="G739" s="75"/>
      <c r="H739" s="75">
        <f>+E739-F739-G739</f>
        <v>8.3</v>
      </c>
      <c r="I739" s="233"/>
      <c r="J739" s="75">
        <f>+H739</f>
        <v>8.3</v>
      </c>
      <c r="K739" s="70">
        <v>366.1</v>
      </c>
      <c r="L739" s="64">
        <f>J739/K739</f>
        <v>0.022671401256487297</v>
      </c>
      <c r="M739" s="36">
        <v>343.2</v>
      </c>
      <c r="N739" s="65">
        <f>L739*M739</f>
        <v>7.78082491122644</v>
      </c>
      <c r="O739" s="65">
        <f>L739*60*1000</f>
        <v>1360.2840753892378</v>
      </c>
      <c r="P739" s="66">
        <f>O739*M739/1000</f>
        <v>466.8494946735864</v>
      </c>
      <c r="Q739" s="11"/>
      <c r="R739" s="10"/>
      <c r="S739" s="10"/>
    </row>
    <row r="740" spans="1:19" s="9" customFormat="1" ht="12.75" customHeight="1">
      <c r="A740" s="380"/>
      <c r="B740" s="67" t="s">
        <v>647</v>
      </c>
      <c r="C740" s="35">
        <v>24</v>
      </c>
      <c r="D740" s="35">
        <v>1961</v>
      </c>
      <c r="E740" s="75">
        <v>26.592999</v>
      </c>
      <c r="F740" s="75">
        <v>2.848452</v>
      </c>
      <c r="G740" s="75">
        <v>3.6</v>
      </c>
      <c r="H740" s="75">
        <v>20.144547</v>
      </c>
      <c r="I740" s="70">
        <v>887.52</v>
      </c>
      <c r="J740" s="75">
        <v>16.293451</v>
      </c>
      <c r="K740" s="70">
        <v>717.85</v>
      </c>
      <c r="L740" s="64">
        <v>0.022697</v>
      </c>
      <c r="M740" s="36">
        <v>277.1</v>
      </c>
      <c r="N740" s="65">
        <f>L740*M740*1.09</f>
        <v>6.855379183</v>
      </c>
      <c r="O740" s="65">
        <f>L740*60*1000</f>
        <v>1361.8199999999997</v>
      </c>
      <c r="P740" s="66">
        <f>M740*O740/1000</f>
        <v>377.36032199999994</v>
      </c>
      <c r="R740" s="10"/>
      <c r="S740" s="10"/>
    </row>
    <row r="741" spans="1:19" s="9" customFormat="1" ht="12.75">
      <c r="A741" s="380"/>
      <c r="B741" s="46" t="s">
        <v>62</v>
      </c>
      <c r="C741" s="25">
        <v>118</v>
      </c>
      <c r="D741" s="25">
        <v>1961</v>
      </c>
      <c r="E741" s="76">
        <v>70.25</v>
      </c>
      <c r="F741" s="76">
        <v>10.68</v>
      </c>
      <c r="G741" s="76"/>
      <c r="H741" s="76">
        <f>E741-F741-G741</f>
        <v>59.57</v>
      </c>
      <c r="I741" s="38">
        <v>2623</v>
      </c>
      <c r="J741" s="76">
        <f>H741/I741*K741</f>
        <v>56.958276782310335</v>
      </c>
      <c r="K741" s="25">
        <v>2508</v>
      </c>
      <c r="L741" s="47">
        <f>J741/K741</f>
        <v>0.022710636675562335</v>
      </c>
      <c r="M741" s="141">
        <f>294.4*1.09</f>
        <v>320.896</v>
      </c>
      <c r="N741" s="30">
        <f>L741*M741</f>
        <v>7.287752466641251</v>
      </c>
      <c r="O741" s="30">
        <f>L741*60*1000</f>
        <v>1362.63820053374</v>
      </c>
      <c r="P741" s="48">
        <f>O741*M741/1000</f>
        <v>437.2651479984751</v>
      </c>
      <c r="Q741" s="11"/>
      <c r="R741" s="10"/>
      <c r="S741" s="10"/>
    </row>
    <row r="742" spans="1:19" s="9" customFormat="1" ht="12.75">
      <c r="A742" s="380"/>
      <c r="B742" s="46" t="s">
        <v>494</v>
      </c>
      <c r="C742" s="25">
        <v>14</v>
      </c>
      <c r="D742" s="25" t="s">
        <v>24</v>
      </c>
      <c r="E742" s="76">
        <f>SUM(F742:H742)</f>
        <v>15.276</v>
      </c>
      <c r="F742" s="76">
        <v>1.096</v>
      </c>
      <c r="G742" s="76">
        <v>0.13</v>
      </c>
      <c r="H742" s="76">
        <v>14.05</v>
      </c>
      <c r="I742" s="38">
        <v>617.86</v>
      </c>
      <c r="J742" s="76">
        <v>14.05</v>
      </c>
      <c r="K742" s="38">
        <v>617.86</v>
      </c>
      <c r="L742" s="64">
        <f>J742/K742</f>
        <v>0.022739779238015085</v>
      </c>
      <c r="M742" s="36">
        <v>206.1</v>
      </c>
      <c r="N742" s="65">
        <f>L742*M742</f>
        <v>4.686668500954909</v>
      </c>
      <c r="O742" s="65">
        <f>L742*60*1000</f>
        <v>1364.3867542809053</v>
      </c>
      <c r="P742" s="66">
        <f>O742*M742/1000</f>
        <v>281.2001100572945</v>
      </c>
      <c r="R742" s="10"/>
      <c r="S742" s="10"/>
    </row>
    <row r="743" spans="1:19" s="9" customFormat="1" ht="12.75">
      <c r="A743" s="380"/>
      <c r="B743" s="67" t="s">
        <v>812</v>
      </c>
      <c r="C743" s="35">
        <v>22</v>
      </c>
      <c r="D743" s="35" t="s">
        <v>24</v>
      </c>
      <c r="E743" s="75">
        <f>F743+G743+H743</f>
        <v>31.918</v>
      </c>
      <c r="F743" s="75">
        <v>2.107</v>
      </c>
      <c r="G743" s="75">
        <v>3.146</v>
      </c>
      <c r="H743" s="75">
        <v>26.665</v>
      </c>
      <c r="I743" s="70">
        <v>1170.98</v>
      </c>
      <c r="J743" s="75">
        <v>26.665</v>
      </c>
      <c r="K743" s="70">
        <v>1170.98</v>
      </c>
      <c r="L743" s="64">
        <f>J743/K743</f>
        <v>0.022771524705801977</v>
      </c>
      <c r="M743" s="35">
        <v>351.85</v>
      </c>
      <c r="N743" s="65">
        <f>L743*M743</f>
        <v>8.012160967736426</v>
      </c>
      <c r="O743" s="65">
        <f>L743*60*1000</f>
        <v>1366.2914823481187</v>
      </c>
      <c r="P743" s="66">
        <f>O743*M743/1000</f>
        <v>480.72965806418557</v>
      </c>
      <c r="R743" s="10"/>
      <c r="S743" s="10"/>
    </row>
    <row r="744" spans="1:19" s="9" customFormat="1" ht="12.75" customHeight="1">
      <c r="A744" s="380"/>
      <c r="B744" s="256" t="s">
        <v>927</v>
      </c>
      <c r="C744" s="35">
        <v>40</v>
      </c>
      <c r="D744" s="35">
        <v>1992</v>
      </c>
      <c r="E744" s="251">
        <f>F744+G744+H744</f>
        <v>51.4</v>
      </c>
      <c r="F744" s="251">
        <v>3.81</v>
      </c>
      <c r="G744" s="251">
        <v>6.4</v>
      </c>
      <c r="H744" s="251">
        <v>41.19</v>
      </c>
      <c r="I744" s="252">
        <v>2256.03</v>
      </c>
      <c r="J744" s="251">
        <f>E744</f>
        <v>51.4</v>
      </c>
      <c r="K744" s="252">
        <v>2256.03</v>
      </c>
      <c r="L744" s="253">
        <f>J744/K744</f>
        <v>0.02278338497271756</v>
      </c>
      <c r="M744" s="258">
        <v>244.38</v>
      </c>
      <c r="N744" s="254">
        <f>L744*M744</f>
        <v>5.567803619632717</v>
      </c>
      <c r="O744" s="254">
        <f>L744*60*1000</f>
        <v>1367.0030983630536</v>
      </c>
      <c r="P744" s="255">
        <f>O744*M744/1000</f>
        <v>334.06821717796305</v>
      </c>
      <c r="R744" s="10"/>
      <c r="S744" s="10"/>
    </row>
    <row r="745" spans="1:19" s="9" customFormat="1" ht="12.75">
      <c r="A745" s="380"/>
      <c r="B745" s="46" t="s">
        <v>359</v>
      </c>
      <c r="C745" s="25">
        <v>22</v>
      </c>
      <c r="D745" s="25" t="s">
        <v>24</v>
      </c>
      <c r="E745" s="76">
        <f>F745+G745+H745</f>
        <v>33.26</v>
      </c>
      <c r="F745" s="76">
        <v>2.1299</v>
      </c>
      <c r="G745" s="76">
        <v>3.52</v>
      </c>
      <c r="H745" s="76">
        <v>27.6101</v>
      </c>
      <c r="I745" s="38">
        <v>1210.94</v>
      </c>
      <c r="J745" s="76">
        <v>27.6101</v>
      </c>
      <c r="K745" s="38">
        <v>1210.94</v>
      </c>
      <c r="L745" s="47">
        <f>J745/K745</f>
        <v>0.02280055163757081</v>
      </c>
      <c r="M745" s="30">
        <v>210</v>
      </c>
      <c r="N745" s="30">
        <f>L745*M745</f>
        <v>4.78811584388987</v>
      </c>
      <c r="O745" s="30">
        <f>L745*1000*60</f>
        <v>1368.0330982542487</v>
      </c>
      <c r="P745" s="48">
        <f>N745*60</f>
        <v>287.2869506333922</v>
      </c>
      <c r="R745" s="10"/>
      <c r="S745" s="10"/>
    </row>
    <row r="746" spans="1:19" s="9" customFormat="1" ht="12.75" customHeight="1">
      <c r="A746" s="380"/>
      <c r="B746" s="67" t="s">
        <v>217</v>
      </c>
      <c r="C746" s="35">
        <v>10</v>
      </c>
      <c r="D746" s="35">
        <v>1940</v>
      </c>
      <c r="E746" s="75">
        <v>7.743</v>
      </c>
      <c r="F746" s="75" t="s">
        <v>154</v>
      </c>
      <c r="G746" s="75" t="s">
        <v>154</v>
      </c>
      <c r="H746" s="75">
        <v>7.743</v>
      </c>
      <c r="I746" s="70">
        <v>339.31</v>
      </c>
      <c r="J746" s="75">
        <v>7.74</v>
      </c>
      <c r="K746" s="70">
        <v>339.31</v>
      </c>
      <c r="L746" s="64">
        <f>J746/K746</f>
        <v>0.02281099879166544</v>
      </c>
      <c r="M746" s="36">
        <v>328.526</v>
      </c>
      <c r="N746" s="65">
        <f>L746*M746</f>
        <v>7.494006189030681</v>
      </c>
      <c r="O746" s="65">
        <f>L746*60*1000</f>
        <v>1368.6599274999264</v>
      </c>
      <c r="P746" s="66">
        <f>O746*M746/1000</f>
        <v>449.6403713418408</v>
      </c>
      <c r="R746" s="10"/>
      <c r="S746" s="10"/>
    </row>
    <row r="747" spans="1:19" s="9" customFormat="1" ht="12.75" customHeight="1">
      <c r="A747" s="380"/>
      <c r="B747" s="67" t="s">
        <v>977</v>
      </c>
      <c r="C747" s="35">
        <v>8</v>
      </c>
      <c r="D747" s="35">
        <v>1988</v>
      </c>
      <c r="E747" s="75">
        <v>4.536</v>
      </c>
      <c r="F747" s="75">
        <v>0.23</v>
      </c>
      <c r="G747" s="75">
        <v>0.48</v>
      </c>
      <c r="H747" s="75">
        <v>3.826</v>
      </c>
      <c r="I747" s="70">
        <v>167.31</v>
      </c>
      <c r="J747" s="75">
        <v>3.826</v>
      </c>
      <c r="K747" s="70">
        <v>167.31</v>
      </c>
      <c r="L747" s="64">
        <f>J747/K747</f>
        <v>0.02286773056003825</v>
      </c>
      <c r="M747" s="36">
        <v>298.987</v>
      </c>
      <c r="N747" s="65">
        <f>L747*M747</f>
        <v>6.837154156954157</v>
      </c>
      <c r="O747" s="65">
        <f>L747*60*1000</f>
        <v>1372.063833602295</v>
      </c>
      <c r="P747" s="66">
        <f>O747*M747/1000</f>
        <v>410.2292494172494</v>
      </c>
      <c r="R747" s="10"/>
      <c r="S747" s="10"/>
    </row>
    <row r="748" spans="1:19" s="9" customFormat="1" ht="12.75">
      <c r="A748" s="380"/>
      <c r="B748" s="67" t="s">
        <v>978</v>
      </c>
      <c r="C748" s="35">
        <v>8</v>
      </c>
      <c r="D748" s="35">
        <v>1950</v>
      </c>
      <c r="E748" s="75">
        <v>5.525</v>
      </c>
      <c r="F748" s="75">
        <v>0.112</v>
      </c>
      <c r="G748" s="75">
        <v>0.064</v>
      </c>
      <c r="H748" s="75">
        <v>5.349</v>
      </c>
      <c r="I748" s="70">
        <v>233.78</v>
      </c>
      <c r="J748" s="75">
        <v>2.392</v>
      </c>
      <c r="K748" s="70">
        <v>104.55</v>
      </c>
      <c r="L748" s="64">
        <f>J748/K748</f>
        <v>0.022879005260640843</v>
      </c>
      <c r="M748" s="36">
        <v>298.987</v>
      </c>
      <c r="N748" s="65">
        <f>L748*M748</f>
        <v>6.840525145863224</v>
      </c>
      <c r="O748" s="65">
        <f>L748*60*1000</f>
        <v>1372.7403156384505</v>
      </c>
      <c r="P748" s="66">
        <f>O748*M748/1000</f>
        <v>410.4315087517934</v>
      </c>
      <c r="Q748" s="11"/>
      <c r="R748" s="10"/>
      <c r="S748" s="10"/>
    </row>
    <row r="749" spans="1:19" s="9" customFormat="1" ht="12.75">
      <c r="A749" s="380"/>
      <c r="B749" s="67" t="s">
        <v>682</v>
      </c>
      <c r="C749" s="35">
        <v>6</v>
      </c>
      <c r="D749" s="35">
        <v>1961</v>
      </c>
      <c r="E749" s="75">
        <v>5.87</v>
      </c>
      <c r="F749" s="75" t="s">
        <v>154</v>
      </c>
      <c r="G749" s="75" t="s">
        <v>154</v>
      </c>
      <c r="H749" s="75">
        <v>5.87</v>
      </c>
      <c r="I749" s="70">
        <v>256.56</v>
      </c>
      <c r="J749" s="75">
        <v>5.87</v>
      </c>
      <c r="K749" s="70">
        <v>256.56</v>
      </c>
      <c r="L749" s="64">
        <f>J749/K749</f>
        <v>0.022879638291237916</v>
      </c>
      <c r="M749" s="36">
        <v>328.526</v>
      </c>
      <c r="N749" s="65">
        <f>L749*M749</f>
        <v>7.516556049267228</v>
      </c>
      <c r="O749" s="65">
        <f>L749*60*1000</f>
        <v>1372.778297474275</v>
      </c>
      <c r="P749" s="66">
        <f>O749*M749/1000</f>
        <v>450.99336295603365</v>
      </c>
      <c r="R749" s="10"/>
      <c r="S749" s="10"/>
    </row>
    <row r="750" spans="1:19" s="9" customFormat="1" ht="12.75">
      <c r="A750" s="380"/>
      <c r="B750" s="67" t="s">
        <v>254</v>
      </c>
      <c r="C750" s="35">
        <v>4</v>
      </c>
      <c r="D750" s="35" t="s">
        <v>24</v>
      </c>
      <c r="E750" s="75">
        <v>5.8</v>
      </c>
      <c r="F750" s="75"/>
      <c r="G750" s="75"/>
      <c r="H750" s="75">
        <f>+E750-F750-G750</f>
        <v>5.8</v>
      </c>
      <c r="I750" s="67"/>
      <c r="J750" s="75">
        <f>+H750</f>
        <v>5.8</v>
      </c>
      <c r="K750" s="70">
        <v>253.3</v>
      </c>
      <c r="L750" s="64">
        <f>J750/K750</f>
        <v>0.022897749703908406</v>
      </c>
      <c r="M750" s="36">
        <v>343.2</v>
      </c>
      <c r="N750" s="65">
        <f>L750*M750</f>
        <v>7.858507698381365</v>
      </c>
      <c r="O750" s="65">
        <f>L750*60*1000</f>
        <v>1373.8649822345044</v>
      </c>
      <c r="P750" s="66">
        <f>O750*M750/1000</f>
        <v>471.5104619028819</v>
      </c>
      <c r="R750" s="10"/>
      <c r="S750" s="10"/>
    </row>
    <row r="751" spans="1:19" s="9" customFormat="1" ht="12.75">
      <c r="A751" s="380"/>
      <c r="B751" s="46" t="s">
        <v>761</v>
      </c>
      <c r="C751" s="25">
        <v>28</v>
      </c>
      <c r="D751" s="25">
        <v>1969</v>
      </c>
      <c r="E751" s="76">
        <f>SUM(F751+G751+H751)</f>
        <v>25.3</v>
      </c>
      <c r="F751" s="76">
        <v>4</v>
      </c>
      <c r="G751" s="76">
        <v>0.3</v>
      </c>
      <c r="H751" s="76">
        <v>21</v>
      </c>
      <c r="I751" s="38">
        <v>917.1</v>
      </c>
      <c r="J751" s="76">
        <v>21</v>
      </c>
      <c r="K751" s="38">
        <v>917.1</v>
      </c>
      <c r="L751" s="47">
        <f>SUM(J751/K751)</f>
        <v>0.02289826627412496</v>
      </c>
      <c r="M751" s="30">
        <v>215.8</v>
      </c>
      <c r="N751" s="30">
        <f>SUM(L751*M751)</f>
        <v>4.941445861956167</v>
      </c>
      <c r="O751" s="30">
        <f>L751*60*1000</f>
        <v>1373.8959764474976</v>
      </c>
      <c r="P751" s="48">
        <f>SUM(N751*60)</f>
        <v>296.48675171737</v>
      </c>
      <c r="R751" s="10"/>
      <c r="S751" s="10"/>
    </row>
    <row r="752" spans="1:19" s="9" customFormat="1" ht="12.75">
      <c r="A752" s="380"/>
      <c r="B752" s="46" t="s">
        <v>243</v>
      </c>
      <c r="C752" s="25">
        <v>11</v>
      </c>
      <c r="D752" s="25">
        <v>1966</v>
      </c>
      <c r="E752" s="76">
        <f>SUM(F752:H752)</f>
        <v>10.201</v>
      </c>
      <c r="F752" s="76"/>
      <c r="G752" s="76"/>
      <c r="H752" s="76">
        <v>10.201</v>
      </c>
      <c r="I752" s="38">
        <v>445.12</v>
      </c>
      <c r="J752" s="76">
        <v>10.201</v>
      </c>
      <c r="K752" s="38">
        <v>445.12</v>
      </c>
      <c r="L752" s="47">
        <f>J752/K752</f>
        <v>0.022917415528396837</v>
      </c>
      <c r="M752" s="30">
        <v>285.3</v>
      </c>
      <c r="N752" s="30">
        <f>L752*M752*1.09</f>
        <v>7.126789128774264</v>
      </c>
      <c r="O752" s="30">
        <f>L752*60*1000</f>
        <v>1375.0449317038103</v>
      </c>
      <c r="P752" s="48">
        <v>427.6073477264558</v>
      </c>
      <c r="R752" s="10"/>
      <c r="S752" s="10"/>
    </row>
    <row r="753" spans="1:19" s="9" customFormat="1" ht="12.75" customHeight="1">
      <c r="A753" s="380"/>
      <c r="B753" s="67" t="s">
        <v>321</v>
      </c>
      <c r="C753" s="35">
        <v>5</v>
      </c>
      <c r="D753" s="35">
        <v>1923</v>
      </c>
      <c r="E753" s="75">
        <f>F753+G753+H753</f>
        <v>4.78</v>
      </c>
      <c r="F753" s="75">
        <v>0</v>
      </c>
      <c r="G753" s="75">
        <v>0</v>
      </c>
      <c r="H753" s="75">
        <v>4.78</v>
      </c>
      <c r="I753" s="70">
        <v>208.38</v>
      </c>
      <c r="J753" s="75">
        <v>4.78</v>
      </c>
      <c r="K753" s="70">
        <v>208.38</v>
      </c>
      <c r="L753" s="64">
        <f>J753/K753</f>
        <v>0.022938861694980325</v>
      </c>
      <c r="M753" s="36">
        <v>314.4</v>
      </c>
      <c r="N753" s="65">
        <f>L753*M753</f>
        <v>7.211978116901814</v>
      </c>
      <c r="O753" s="65">
        <f>L753*60*1000</f>
        <v>1376.3317016988194</v>
      </c>
      <c r="P753" s="66">
        <f>O753*M753/1000</f>
        <v>432.7186870141088</v>
      </c>
      <c r="R753" s="10"/>
      <c r="S753" s="10"/>
    </row>
    <row r="754" spans="1:22" s="9" customFormat="1" ht="12.75" customHeight="1">
      <c r="A754" s="380"/>
      <c r="B754" s="67" t="s">
        <v>748</v>
      </c>
      <c r="C754" s="35">
        <v>20</v>
      </c>
      <c r="D754" s="35">
        <v>1983</v>
      </c>
      <c r="E754" s="75">
        <v>29.37</v>
      </c>
      <c r="F754" s="75">
        <v>1.99</v>
      </c>
      <c r="G754" s="75">
        <v>3.2</v>
      </c>
      <c r="H754" s="75">
        <v>23.96</v>
      </c>
      <c r="I754" s="263"/>
      <c r="J754" s="75">
        <f>H754</f>
        <v>23.96</v>
      </c>
      <c r="K754" s="70">
        <v>1040</v>
      </c>
      <c r="L754" s="64">
        <f>J754/K754</f>
        <v>0.02303846153846154</v>
      </c>
      <c r="M754" s="36">
        <v>187.69</v>
      </c>
      <c r="N754" s="65">
        <f>L754*M754</f>
        <v>4.324088846153846</v>
      </c>
      <c r="O754" s="65">
        <f>L754*60*1000</f>
        <v>1382.3076923076922</v>
      </c>
      <c r="P754" s="66">
        <f>O754*M754/1000</f>
        <v>259.44533076923074</v>
      </c>
      <c r="Q754" s="10"/>
      <c r="R754" s="10"/>
      <c r="S754" s="10"/>
      <c r="T754" s="12"/>
      <c r="U754" s="13"/>
      <c r="V754" s="13"/>
    </row>
    <row r="755" spans="1:19" s="9" customFormat="1" ht="12.75" customHeight="1">
      <c r="A755" s="380"/>
      <c r="B755" s="67" t="s">
        <v>518</v>
      </c>
      <c r="C755" s="35">
        <v>7</v>
      </c>
      <c r="D755" s="35" t="s">
        <v>24</v>
      </c>
      <c r="E755" s="75">
        <f>F755+G755+H755</f>
        <v>10</v>
      </c>
      <c r="F755" s="75">
        <v>0.432</v>
      </c>
      <c r="G755" s="75">
        <v>1.2</v>
      </c>
      <c r="H755" s="75">
        <v>8.368</v>
      </c>
      <c r="I755" s="70">
        <v>362.86</v>
      </c>
      <c r="J755" s="75">
        <v>7.261</v>
      </c>
      <c r="K755" s="70">
        <v>314.87</v>
      </c>
      <c r="L755" s="64">
        <f>J755/K755</f>
        <v>0.02306031060437641</v>
      </c>
      <c r="M755" s="35">
        <v>351.85</v>
      </c>
      <c r="N755" s="65">
        <f>L755*M755</f>
        <v>8.11377028614984</v>
      </c>
      <c r="O755" s="65">
        <f>L755*60*1000</f>
        <v>1383.6186362625847</v>
      </c>
      <c r="P755" s="66">
        <f>O755*M755/1000</f>
        <v>486.82621716899047</v>
      </c>
      <c r="R755" s="10"/>
      <c r="S755" s="10"/>
    </row>
    <row r="756" spans="1:19" s="9" customFormat="1" ht="12.75" customHeight="1">
      <c r="A756" s="380"/>
      <c r="B756" s="67" t="s">
        <v>882</v>
      </c>
      <c r="C756" s="35">
        <v>12</v>
      </c>
      <c r="D756" s="35" t="s">
        <v>156</v>
      </c>
      <c r="E756" s="263">
        <f>+F756+G756+H756</f>
        <v>17.488651</v>
      </c>
      <c r="F756" s="75">
        <v>1.772472</v>
      </c>
      <c r="G756" s="75">
        <v>1.92</v>
      </c>
      <c r="H756" s="75">
        <v>13.796179</v>
      </c>
      <c r="I756" s="70">
        <v>597.69</v>
      </c>
      <c r="J756" s="75">
        <v>13.796179</v>
      </c>
      <c r="K756" s="70">
        <v>597.69</v>
      </c>
      <c r="L756" s="64">
        <f>J756/K756</f>
        <v>0.023082499288929043</v>
      </c>
      <c r="M756" s="36">
        <v>279.803</v>
      </c>
      <c r="N756" s="65">
        <f>L756*M756</f>
        <v>6.458552548540213</v>
      </c>
      <c r="O756" s="65">
        <f>L756*60*1000</f>
        <v>1384.9499573357427</v>
      </c>
      <c r="P756" s="66">
        <f>O756*M756/1000</f>
        <v>387.5131529124128</v>
      </c>
      <c r="R756" s="10"/>
      <c r="S756" s="10"/>
    </row>
    <row r="757" spans="1:19" s="9" customFormat="1" ht="12.75" customHeight="1">
      <c r="A757" s="380"/>
      <c r="B757" s="67" t="s">
        <v>683</v>
      </c>
      <c r="C757" s="35">
        <v>33</v>
      </c>
      <c r="D757" s="35">
        <v>1985</v>
      </c>
      <c r="E757" s="75">
        <v>57.04</v>
      </c>
      <c r="F757" s="75">
        <v>4.176543</v>
      </c>
      <c r="G757" s="75">
        <v>5.28</v>
      </c>
      <c r="H757" s="75">
        <v>47.583457</v>
      </c>
      <c r="I757" s="70">
        <v>2059.6</v>
      </c>
      <c r="J757" s="75">
        <v>47.58</v>
      </c>
      <c r="K757" s="70">
        <v>2059.6</v>
      </c>
      <c r="L757" s="64">
        <f>J757/K757</f>
        <v>0.023101573120994368</v>
      </c>
      <c r="M757" s="36">
        <v>328.526</v>
      </c>
      <c r="N757" s="65">
        <f>L757*M757</f>
        <v>7.589467411147796</v>
      </c>
      <c r="O757" s="65">
        <f>L757*60*1000</f>
        <v>1386.094387259662</v>
      </c>
      <c r="P757" s="66">
        <f>O757*M757/1000</f>
        <v>455.3680446688677</v>
      </c>
      <c r="R757" s="10"/>
      <c r="S757" s="10"/>
    </row>
    <row r="758" spans="1:19" s="9" customFormat="1" ht="12.75" customHeight="1">
      <c r="A758" s="380"/>
      <c r="B758" s="46" t="s">
        <v>734</v>
      </c>
      <c r="C758" s="25">
        <v>17</v>
      </c>
      <c r="D758" s="25" t="s">
        <v>24</v>
      </c>
      <c r="E758" s="76">
        <f>F758+G758+H758</f>
        <v>21.5161</v>
      </c>
      <c r="F758" s="76">
        <v>2.2981</v>
      </c>
      <c r="G758" s="76">
        <v>1.18</v>
      </c>
      <c r="H758" s="76">
        <v>18.038</v>
      </c>
      <c r="I758" s="38">
        <v>780.3</v>
      </c>
      <c r="J758" s="76">
        <v>18.038</v>
      </c>
      <c r="K758" s="38">
        <v>780.3</v>
      </c>
      <c r="L758" s="47">
        <f>J758/K758</f>
        <v>0.023116749967961044</v>
      </c>
      <c r="M758" s="30">
        <v>210</v>
      </c>
      <c r="N758" s="30">
        <f>L758*M758</f>
        <v>4.854517493271819</v>
      </c>
      <c r="O758" s="30">
        <f>L758*1000*60</f>
        <v>1387.0049980776628</v>
      </c>
      <c r="P758" s="48">
        <f>N758*60</f>
        <v>291.2710495963092</v>
      </c>
      <c r="R758" s="10"/>
      <c r="S758" s="10"/>
    </row>
    <row r="759" spans="1:19" s="9" customFormat="1" ht="13.5" customHeight="1">
      <c r="A759" s="380"/>
      <c r="B759" s="46" t="s">
        <v>394</v>
      </c>
      <c r="C759" s="25">
        <v>9</v>
      </c>
      <c r="D759" s="25" t="s">
        <v>376</v>
      </c>
      <c r="E759" s="76">
        <f>SUM(F759+G759+H759)</f>
        <v>5.9</v>
      </c>
      <c r="F759" s="76">
        <v>0</v>
      </c>
      <c r="G759" s="76">
        <v>0</v>
      </c>
      <c r="H759" s="76">
        <v>5.9</v>
      </c>
      <c r="I759" s="38">
        <v>255.12</v>
      </c>
      <c r="J759" s="76">
        <v>5.9</v>
      </c>
      <c r="K759" s="38">
        <v>255.1</v>
      </c>
      <c r="L759" s="47">
        <f>SUM(J759/K759)</f>
        <v>0.023128185025480207</v>
      </c>
      <c r="M759" s="30">
        <v>215.8</v>
      </c>
      <c r="N759" s="30">
        <f>SUM(L759*M759)</f>
        <v>4.991062328498629</v>
      </c>
      <c r="O759" s="30">
        <f>L759*60*1000</f>
        <v>1387.6911015288124</v>
      </c>
      <c r="P759" s="48">
        <f>SUM(N759*60)</f>
        <v>299.4637397099177</v>
      </c>
      <c r="R759" s="10"/>
      <c r="S759" s="10"/>
    </row>
    <row r="760" spans="1:19" s="9" customFormat="1" ht="12.75" customHeight="1">
      <c r="A760" s="380"/>
      <c r="B760" s="67" t="s">
        <v>428</v>
      </c>
      <c r="C760" s="35">
        <v>5</v>
      </c>
      <c r="D760" s="35">
        <v>1890</v>
      </c>
      <c r="E760" s="75">
        <v>8.671</v>
      </c>
      <c r="F760" s="75">
        <v>0.153</v>
      </c>
      <c r="G760" s="75">
        <v>0.72</v>
      </c>
      <c r="H760" s="75">
        <v>7.798</v>
      </c>
      <c r="I760" s="70">
        <v>336.82</v>
      </c>
      <c r="J760" s="75">
        <v>4.185157</v>
      </c>
      <c r="K760" s="70">
        <v>180.77</v>
      </c>
      <c r="L760" s="64">
        <v>0.023151</v>
      </c>
      <c r="M760" s="36">
        <v>277.1</v>
      </c>
      <c r="N760" s="65">
        <f>L760*M760*1.09</f>
        <v>6.992504889000001</v>
      </c>
      <c r="O760" s="65">
        <f>L760*60*1000</f>
        <v>1389.0600000000002</v>
      </c>
      <c r="P760" s="66">
        <f>M760*O760/1000</f>
        <v>384.90852600000005</v>
      </c>
      <c r="R760" s="10"/>
      <c r="S760" s="10"/>
    </row>
    <row r="761" spans="1:19" s="9" customFormat="1" ht="12.75" customHeight="1">
      <c r="A761" s="380"/>
      <c r="B761" s="67" t="s">
        <v>413</v>
      </c>
      <c r="C761" s="35">
        <v>20</v>
      </c>
      <c r="D761" s="35">
        <v>1984</v>
      </c>
      <c r="E761" s="75">
        <v>29.33</v>
      </c>
      <c r="F761" s="75">
        <v>1.58</v>
      </c>
      <c r="G761" s="75">
        <v>3.2</v>
      </c>
      <c r="H761" s="75">
        <v>24.5</v>
      </c>
      <c r="I761" s="263"/>
      <c r="J761" s="75">
        <f>H761</f>
        <v>24.5</v>
      </c>
      <c r="K761" s="70">
        <v>1058</v>
      </c>
      <c r="L761" s="64">
        <f>J761/K761</f>
        <v>0.023156899810964082</v>
      </c>
      <c r="M761" s="36">
        <v>187.69</v>
      </c>
      <c r="N761" s="65">
        <f>L761*M761</f>
        <v>4.346318525519848</v>
      </c>
      <c r="O761" s="65">
        <f>L761*60*1000</f>
        <v>1389.413988657845</v>
      </c>
      <c r="P761" s="66">
        <f>O761*M761/1000</f>
        <v>260.77911153119095</v>
      </c>
      <c r="R761" s="10"/>
      <c r="S761" s="10"/>
    </row>
    <row r="762" spans="1:19" s="9" customFormat="1" ht="12.75">
      <c r="A762" s="380"/>
      <c r="B762" s="67" t="s">
        <v>684</v>
      </c>
      <c r="C762" s="35">
        <v>8</v>
      </c>
      <c r="D762" s="35">
        <v>1970</v>
      </c>
      <c r="E762" s="75">
        <v>9.4163</v>
      </c>
      <c r="F762" s="75">
        <v>0.408</v>
      </c>
      <c r="G762" s="75" t="s">
        <v>154</v>
      </c>
      <c r="H762" s="75">
        <v>9.0083</v>
      </c>
      <c r="I762" s="70">
        <v>389.07</v>
      </c>
      <c r="J762" s="75">
        <v>9.01</v>
      </c>
      <c r="K762" s="70">
        <v>389.07</v>
      </c>
      <c r="L762" s="64">
        <f>J762/K762</f>
        <v>0.02315778651656514</v>
      </c>
      <c r="M762" s="36">
        <v>328.526</v>
      </c>
      <c r="N762" s="65">
        <f>L762*M762</f>
        <v>7.60793497314108</v>
      </c>
      <c r="O762" s="65">
        <f>L762*60*1000</f>
        <v>1389.4671909939084</v>
      </c>
      <c r="P762" s="66">
        <f>O762*M762/1000</f>
        <v>456.4760983884648</v>
      </c>
      <c r="R762" s="10"/>
      <c r="S762" s="10"/>
    </row>
    <row r="763" spans="1:19" s="9" customFormat="1" ht="12.75">
      <c r="A763" s="380"/>
      <c r="B763" s="46" t="s">
        <v>146</v>
      </c>
      <c r="C763" s="25">
        <v>24</v>
      </c>
      <c r="D763" s="25">
        <v>1968</v>
      </c>
      <c r="E763" s="76">
        <f>SUM(F763:H763)</f>
        <v>28.113998000000002</v>
      </c>
      <c r="F763" s="76">
        <v>0.83235</v>
      </c>
      <c r="G763" s="76">
        <v>3.84</v>
      </c>
      <c r="H763" s="76">
        <v>23.441648</v>
      </c>
      <c r="I763" s="38">
        <v>1012.02</v>
      </c>
      <c r="J763" s="76">
        <v>23.441648</v>
      </c>
      <c r="K763" s="38">
        <v>1012.02</v>
      </c>
      <c r="L763" s="47">
        <f>J763/K763</f>
        <v>0.023163226023201124</v>
      </c>
      <c r="M763" s="30">
        <v>285.3</v>
      </c>
      <c r="N763" s="30">
        <f>L763*M763*1.09</f>
        <v>7.203230539017016</v>
      </c>
      <c r="O763" s="30">
        <f>L763*60*1000</f>
        <v>1389.7935613920674</v>
      </c>
      <c r="P763" s="48">
        <v>432.193832341021</v>
      </c>
      <c r="R763" s="10"/>
      <c r="S763" s="10"/>
    </row>
    <row r="764" spans="1:19" s="9" customFormat="1" ht="12.75">
      <c r="A764" s="380"/>
      <c r="B764" s="67" t="s">
        <v>302</v>
      </c>
      <c r="C764" s="35">
        <v>7</v>
      </c>
      <c r="D764" s="35">
        <v>1900</v>
      </c>
      <c r="E764" s="75">
        <v>7.5184</v>
      </c>
      <c r="F764" s="75">
        <v>0.451452</v>
      </c>
      <c r="G764" s="75">
        <v>0.96</v>
      </c>
      <c r="H764" s="75">
        <v>6.106948</v>
      </c>
      <c r="I764" s="70">
        <v>263.54</v>
      </c>
      <c r="J764" s="75">
        <v>3.626304</v>
      </c>
      <c r="K764" s="70">
        <v>156.49</v>
      </c>
      <c r="L764" s="64">
        <v>0.023172</v>
      </c>
      <c r="M764" s="36">
        <v>277.1</v>
      </c>
      <c r="N764" s="65">
        <f>L764*M764*1.09</f>
        <v>6.998847708000001</v>
      </c>
      <c r="O764" s="65">
        <f>L764*60*1000</f>
        <v>1390.32</v>
      </c>
      <c r="P764" s="66">
        <f>M764*O764/1000</f>
        <v>385.257672</v>
      </c>
      <c r="R764" s="10"/>
      <c r="S764" s="10"/>
    </row>
    <row r="765" spans="1:19" s="9" customFormat="1" ht="12.75">
      <c r="A765" s="380"/>
      <c r="B765" s="67" t="s">
        <v>685</v>
      </c>
      <c r="C765" s="35">
        <v>45</v>
      </c>
      <c r="D765" s="35">
        <v>1973</v>
      </c>
      <c r="E765" s="75">
        <v>27.332</v>
      </c>
      <c r="F765" s="75" t="s">
        <v>154</v>
      </c>
      <c r="G765" s="75" t="s">
        <v>154</v>
      </c>
      <c r="H765" s="75">
        <v>27.332</v>
      </c>
      <c r="I765" s="70">
        <v>1179.28</v>
      </c>
      <c r="J765" s="75">
        <v>27.33</v>
      </c>
      <c r="K765" s="70">
        <v>1179.28</v>
      </c>
      <c r="L765" s="64">
        <f>J765/K765</f>
        <v>0.023175157723356623</v>
      </c>
      <c r="M765" s="36">
        <v>328.526</v>
      </c>
      <c r="N765" s="65">
        <f>L765*M765</f>
        <v>7.613641866223458</v>
      </c>
      <c r="O765" s="65">
        <f>L765*60*1000</f>
        <v>1390.5094634013974</v>
      </c>
      <c r="P765" s="66">
        <f>O765*M765/1000</f>
        <v>456.81851197340745</v>
      </c>
      <c r="R765" s="10"/>
      <c r="S765" s="10"/>
    </row>
    <row r="766" spans="1:19" s="9" customFormat="1" ht="12.75">
      <c r="A766" s="380"/>
      <c r="B766" s="67" t="s">
        <v>686</v>
      </c>
      <c r="C766" s="35">
        <v>27</v>
      </c>
      <c r="D766" s="35">
        <v>1977</v>
      </c>
      <c r="E766" s="75">
        <v>12.088</v>
      </c>
      <c r="F766" s="75" t="s">
        <v>154</v>
      </c>
      <c r="G766" s="75" t="s">
        <v>154</v>
      </c>
      <c r="H766" s="75">
        <v>12.088</v>
      </c>
      <c r="I766" s="70">
        <v>574.25</v>
      </c>
      <c r="J766" s="75">
        <v>10.95</v>
      </c>
      <c r="K766" s="70">
        <v>471.37</v>
      </c>
      <c r="L766" s="64">
        <f>J766/K766</f>
        <v>0.023230158898529817</v>
      </c>
      <c r="M766" s="36">
        <v>328.526</v>
      </c>
      <c r="N766" s="65">
        <f>L766*M766</f>
        <v>7.631711182298407</v>
      </c>
      <c r="O766" s="65">
        <f>L766*60*1000</f>
        <v>1393.809533911789</v>
      </c>
      <c r="P766" s="66">
        <f>O766*M766/1000</f>
        <v>457.9026709379044</v>
      </c>
      <c r="R766" s="10"/>
      <c r="S766" s="10"/>
    </row>
    <row r="767" spans="1:19" s="9" customFormat="1" ht="12.75">
      <c r="A767" s="380"/>
      <c r="B767" s="67" t="s">
        <v>449</v>
      </c>
      <c r="C767" s="35">
        <v>8</v>
      </c>
      <c r="D767" s="35">
        <v>1940</v>
      </c>
      <c r="E767" s="75">
        <v>7.223</v>
      </c>
      <c r="F767" s="75" t="s">
        <v>154</v>
      </c>
      <c r="G767" s="75" t="s">
        <v>154</v>
      </c>
      <c r="H767" s="75">
        <v>7.223</v>
      </c>
      <c r="I767" s="70">
        <v>310.83</v>
      </c>
      <c r="J767" s="75">
        <v>7.22</v>
      </c>
      <c r="K767" s="70">
        <v>310.8</v>
      </c>
      <c r="L767" s="64">
        <f>J767/K767</f>
        <v>0.02323037323037323</v>
      </c>
      <c r="M767" s="36">
        <v>328.526</v>
      </c>
      <c r="N767" s="65">
        <f>L767*M767</f>
        <v>7.631781595881596</v>
      </c>
      <c r="O767" s="65">
        <f>L767*60*1000</f>
        <v>1393.8223938223937</v>
      </c>
      <c r="P767" s="66">
        <f>O767*M767/1000</f>
        <v>457.90689575289576</v>
      </c>
      <c r="R767" s="10"/>
      <c r="S767" s="10"/>
    </row>
    <row r="768" spans="1:19" s="9" customFormat="1" ht="12.75" customHeight="1">
      <c r="A768" s="380"/>
      <c r="B768" s="67" t="s">
        <v>481</v>
      </c>
      <c r="C768" s="35">
        <v>8</v>
      </c>
      <c r="D768" s="35">
        <v>1951</v>
      </c>
      <c r="E768" s="75">
        <v>9.2</v>
      </c>
      <c r="F768" s="75">
        <v>0.909</v>
      </c>
      <c r="G768" s="75">
        <v>1.28</v>
      </c>
      <c r="H768" s="75">
        <v>7.011</v>
      </c>
      <c r="I768" s="70">
        <v>300.96</v>
      </c>
      <c r="J768" s="75">
        <v>7</v>
      </c>
      <c r="K768" s="70">
        <v>301</v>
      </c>
      <c r="L768" s="64">
        <f>J768/K768</f>
        <v>0.023255813953488372</v>
      </c>
      <c r="M768" s="36">
        <v>224.1</v>
      </c>
      <c r="N768" s="65">
        <f>L768*M768</f>
        <v>5.211627906976744</v>
      </c>
      <c r="O768" s="65">
        <f>L768*60*1000</f>
        <v>1395.3488372093025</v>
      </c>
      <c r="P768" s="66">
        <f>O768*M768/1000</f>
        <v>312.6976744186047</v>
      </c>
      <c r="R768" s="10"/>
      <c r="S768" s="10"/>
    </row>
    <row r="769" spans="1:19" s="9" customFormat="1" ht="12.75" customHeight="1">
      <c r="A769" s="380"/>
      <c r="B769" s="67" t="s">
        <v>687</v>
      </c>
      <c r="C769" s="35">
        <v>12</v>
      </c>
      <c r="D769" s="35">
        <v>1979</v>
      </c>
      <c r="E769" s="75">
        <v>12.2667</v>
      </c>
      <c r="F769" s="75" t="s">
        <v>154</v>
      </c>
      <c r="G769" s="75" t="s">
        <v>154</v>
      </c>
      <c r="H769" s="75">
        <v>12.2667</v>
      </c>
      <c r="I769" s="70">
        <v>774.03</v>
      </c>
      <c r="J769" s="75">
        <v>12.27</v>
      </c>
      <c r="K769" s="70">
        <v>527.17</v>
      </c>
      <c r="L769" s="64">
        <f>J769/K769</f>
        <v>0.02327522431094334</v>
      </c>
      <c r="M769" s="36">
        <v>328.526</v>
      </c>
      <c r="N769" s="65">
        <f>L769*M769</f>
        <v>7.646516341976972</v>
      </c>
      <c r="O769" s="65">
        <f>L769*60*1000</f>
        <v>1396.5134586566003</v>
      </c>
      <c r="P769" s="66">
        <f>O769*M769/1000</f>
        <v>458.79098051861826</v>
      </c>
      <c r="R769" s="10"/>
      <c r="S769" s="10"/>
    </row>
    <row r="770" spans="1:26" s="9" customFormat="1" ht="12.75">
      <c r="A770" s="380"/>
      <c r="B770" s="67" t="s">
        <v>909</v>
      </c>
      <c r="C770" s="35">
        <v>20</v>
      </c>
      <c r="D770" s="35" t="s">
        <v>892</v>
      </c>
      <c r="E770" s="75">
        <v>29.174</v>
      </c>
      <c r="F770" s="75">
        <v>1.261</v>
      </c>
      <c r="G770" s="75">
        <v>3.2</v>
      </c>
      <c r="H770" s="75">
        <v>24.713</v>
      </c>
      <c r="I770" s="264"/>
      <c r="J770" s="75">
        <v>24.713</v>
      </c>
      <c r="K770" s="70">
        <v>1061.52</v>
      </c>
      <c r="L770" s="64">
        <f>J770/K770</f>
        <v>0.023280767201748438</v>
      </c>
      <c r="M770" s="36">
        <v>276.97</v>
      </c>
      <c r="N770" s="65">
        <f>L770*M770</f>
        <v>6.448074091868266</v>
      </c>
      <c r="O770" s="65">
        <f>L770*60*1000</f>
        <v>1396.8460321049063</v>
      </c>
      <c r="P770" s="66">
        <f>O770*M770/1000</f>
        <v>386.8844455120959</v>
      </c>
      <c r="R770" s="10"/>
      <c r="S770" s="10"/>
      <c r="Z770" s="14"/>
    </row>
    <row r="771" spans="1:16" ht="12.75" customHeight="1">
      <c r="A771" s="380"/>
      <c r="B771" s="105" t="s">
        <v>266</v>
      </c>
      <c r="C771" s="106">
        <v>35</v>
      </c>
      <c r="D771" s="106">
        <v>1965</v>
      </c>
      <c r="E771" s="76">
        <v>24.339</v>
      </c>
      <c r="F771" s="76">
        <v>7.498447</v>
      </c>
      <c r="G771" s="76">
        <v>0.826</v>
      </c>
      <c r="H771" s="76">
        <v>16.014553</v>
      </c>
      <c r="I771" s="38">
        <v>687.58</v>
      </c>
      <c r="J771" s="76">
        <v>16.014555</v>
      </c>
      <c r="K771" s="38">
        <v>687.58</v>
      </c>
      <c r="L771" s="47">
        <f>J771/K771</f>
        <v>0.023291187934494896</v>
      </c>
      <c r="M771" s="25">
        <v>298.66</v>
      </c>
      <c r="N771" s="30">
        <f>L771*M771</f>
        <v>6.9561461885162466</v>
      </c>
      <c r="O771" s="30">
        <f>L771*60*1000</f>
        <v>1397.4712760696937</v>
      </c>
      <c r="P771" s="48">
        <f>O771*M771/1000</f>
        <v>417.36877131097475</v>
      </c>
    </row>
    <row r="772" spans="1:16" ht="12.75" customHeight="1">
      <c r="A772" s="380"/>
      <c r="B772" s="67" t="s">
        <v>979</v>
      </c>
      <c r="C772" s="35">
        <v>8</v>
      </c>
      <c r="D772" s="35">
        <v>1962</v>
      </c>
      <c r="E772" s="75">
        <v>10.516</v>
      </c>
      <c r="F772" s="75">
        <v>0.84</v>
      </c>
      <c r="G772" s="75">
        <v>1.28</v>
      </c>
      <c r="H772" s="75">
        <v>8.396</v>
      </c>
      <c r="I772" s="70">
        <v>372.35</v>
      </c>
      <c r="J772" s="75">
        <v>6.375</v>
      </c>
      <c r="K772" s="70">
        <v>273.55</v>
      </c>
      <c r="L772" s="64">
        <f>J772/K772</f>
        <v>0.023304697495887407</v>
      </c>
      <c r="M772" s="36">
        <v>298.987</v>
      </c>
      <c r="N772" s="65">
        <f>L772*M772</f>
        <v>6.967801590202889</v>
      </c>
      <c r="O772" s="65">
        <f>L772*60*1000</f>
        <v>1398.2818497532444</v>
      </c>
      <c r="P772" s="66">
        <f>O772*M772/1000</f>
        <v>418.0680954121733</v>
      </c>
    </row>
    <row r="773" spans="1:16" ht="12.75" customHeight="1">
      <c r="A773" s="380"/>
      <c r="B773" s="67" t="s">
        <v>980</v>
      </c>
      <c r="C773" s="35">
        <v>6</v>
      </c>
      <c r="D773" s="35">
        <v>1934</v>
      </c>
      <c r="E773" s="75">
        <v>6.445</v>
      </c>
      <c r="F773" s="75">
        <v>1.008</v>
      </c>
      <c r="G773" s="75">
        <v>0.096</v>
      </c>
      <c r="H773" s="75">
        <v>5.341</v>
      </c>
      <c r="I773" s="70">
        <v>229.18</v>
      </c>
      <c r="J773" s="75">
        <v>5.341</v>
      </c>
      <c r="K773" s="70">
        <v>229.18</v>
      </c>
      <c r="L773" s="64">
        <f>J773/K773</f>
        <v>0.023304825901038485</v>
      </c>
      <c r="M773" s="36">
        <v>298.987</v>
      </c>
      <c r="N773" s="65">
        <f>L773*M773</f>
        <v>6.967839981673794</v>
      </c>
      <c r="O773" s="65">
        <f>L773*60*1000</f>
        <v>1398.289554062309</v>
      </c>
      <c r="P773" s="66">
        <f>O773*M773/1000</f>
        <v>418.0703989004276</v>
      </c>
    </row>
    <row r="774" spans="1:16" ht="13.5" customHeight="1">
      <c r="A774" s="380"/>
      <c r="B774" s="67" t="s">
        <v>949</v>
      </c>
      <c r="C774" s="35">
        <v>20</v>
      </c>
      <c r="D774" s="35">
        <v>1980</v>
      </c>
      <c r="E774" s="75">
        <v>28.903</v>
      </c>
      <c r="F774" s="75">
        <v>1.318</v>
      </c>
      <c r="G774" s="75">
        <v>3.2</v>
      </c>
      <c r="H774" s="75">
        <v>24.385</v>
      </c>
      <c r="I774" s="70">
        <v>1045.96</v>
      </c>
      <c r="J774" s="75">
        <v>24.385</v>
      </c>
      <c r="K774" s="70">
        <v>1045.96</v>
      </c>
      <c r="L774" s="64">
        <f>J774/K774</f>
        <v>0.02331351103292669</v>
      </c>
      <c r="M774" s="36">
        <v>201.868</v>
      </c>
      <c r="N774" s="65">
        <f>L774*M774</f>
        <v>4.706251845194845</v>
      </c>
      <c r="O774" s="65">
        <f>L774*60*1000</f>
        <v>1398.8106619756015</v>
      </c>
      <c r="P774" s="66">
        <f>O774*M774/1000</f>
        <v>282.37511071169075</v>
      </c>
    </row>
    <row r="775" spans="1:16" ht="12.75" customHeight="1">
      <c r="A775" s="380"/>
      <c r="B775" s="67" t="s">
        <v>981</v>
      </c>
      <c r="C775" s="35">
        <v>6</v>
      </c>
      <c r="D775" s="35">
        <v>1985</v>
      </c>
      <c r="E775" s="75">
        <v>6.671</v>
      </c>
      <c r="F775" s="75">
        <v>0.336</v>
      </c>
      <c r="G775" s="75">
        <v>0.96</v>
      </c>
      <c r="H775" s="75">
        <v>5.375</v>
      </c>
      <c r="I775" s="70">
        <v>230.55</v>
      </c>
      <c r="J775" s="75">
        <v>5.375</v>
      </c>
      <c r="K775" s="70">
        <v>230.55</v>
      </c>
      <c r="L775" s="64">
        <f>J775/K775</f>
        <v>0.023313814790717848</v>
      </c>
      <c r="M775" s="36">
        <v>298.987</v>
      </c>
      <c r="N775" s="65">
        <f>L775*M775</f>
        <v>6.970527542832357</v>
      </c>
      <c r="O775" s="65">
        <f>L775*60*1000</f>
        <v>1398.8288874430707</v>
      </c>
      <c r="P775" s="66">
        <f>O775*M775/1000</f>
        <v>418.23165256994145</v>
      </c>
    </row>
    <row r="776" spans="1:16" ht="12.75" customHeight="1">
      <c r="A776" s="380"/>
      <c r="B776" s="67" t="s">
        <v>910</v>
      </c>
      <c r="C776" s="35">
        <v>35</v>
      </c>
      <c r="D776" s="35" t="s">
        <v>892</v>
      </c>
      <c r="E776" s="75">
        <v>28.67</v>
      </c>
      <c r="F776" s="75">
        <v>0</v>
      </c>
      <c r="G776" s="75">
        <v>0</v>
      </c>
      <c r="H776" s="75">
        <v>28.67</v>
      </c>
      <c r="I776" s="264"/>
      <c r="J776" s="75">
        <v>28.67</v>
      </c>
      <c r="K776" s="70">
        <v>1229.2</v>
      </c>
      <c r="L776" s="64">
        <f>J776/K776</f>
        <v>0.023324113244386595</v>
      </c>
      <c r="M776" s="36">
        <v>276.97</v>
      </c>
      <c r="N776" s="65">
        <f>L776*M776</f>
        <v>6.460079645297756</v>
      </c>
      <c r="O776" s="65">
        <f>L776*60*1000</f>
        <v>1399.4467946631958</v>
      </c>
      <c r="P776" s="66">
        <f>O776*M776/1000</f>
        <v>387.6047787178654</v>
      </c>
    </row>
    <row r="777" spans="1:16" ht="12.75" customHeight="1">
      <c r="A777" s="380"/>
      <c r="B777" s="67" t="s">
        <v>586</v>
      </c>
      <c r="C777" s="35">
        <v>40</v>
      </c>
      <c r="D777" s="35">
        <v>1980</v>
      </c>
      <c r="E777" s="75">
        <v>46.62861</v>
      </c>
      <c r="F777" s="75">
        <v>4.81848</v>
      </c>
      <c r="G777" s="75">
        <v>0.4</v>
      </c>
      <c r="H777" s="75">
        <f>E777-F777-G777</f>
        <v>41.41013</v>
      </c>
      <c r="I777" s="70">
        <v>1774.94</v>
      </c>
      <c r="J777" s="75">
        <f>H777</f>
        <v>41.41013</v>
      </c>
      <c r="K777" s="70">
        <f>I777</f>
        <v>1774.94</v>
      </c>
      <c r="L777" s="64">
        <f>J777/K777</f>
        <v>0.023330439338794553</v>
      </c>
      <c r="M777" s="36">
        <v>279.5</v>
      </c>
      <c r="N777" s="65">
        <f>L777*M777</f>
        <v>6.520857795193078</v>
      </c>
      <c r="O777" s="65">
        <f>L777*60*1000</f>
        <v>1399.8263603276732</v>
      </c>
      <c r="P777" s="66">
        <f>O777*M777/1000</f>
        <v>391.25146771158467</v>
      </c>
    </row>
    <row r="778" spans="1:16" ht="12.75" customHeight="1">
      <c r="A778" s="380"/>
      <c r="B778" s="67" t="s">
        <v>516</v>
      </c>
      <c r="C778" s="35">
        <v>47</v>
      </c>
      <c r="D778" s="35" t="s">
        <v>24</v>
      </c>
      <c r="E778" s="75">
        <f>F778+G778+H778</f>
        <v>31.970000000000002</v>
      </c>
      <c r="F778" s="75">
        <v>2.183</v>
      </c>
      <c r="G778" s="75">
        <v>1.44</v>
      </c>
      <c r="H778" s="75">
        <v>28.347</v>
      </c>
      <c r="I778" s="70">
        <v>1214.4</v>
      </c>
      <c r="J778" s="75">
        <v>28.347</v>
      </c>
      <c r="K778" s="70">
        <v>1214.4</v>
      </c>
      <c r="L778" s="64">
        <f>J778/K778</f>
        <v>0.023342391304347825</v>
      </c>
      <c r="M778" s="35">
        <v>351.85</v>
      </c>
      <c r="N778" s="65">
        <f>L778*M778</f>
        <v>8.213020380434783</v>
      </c>
      <c r="O778" s="65">
        <f>L778*60*1000</f>
        <v>1400.5434782608695</v>
      </c>
      <c r="P778" s="66">
        <f>O778*M778/1000</f>
        <v>492.78122282608695</v>
      </c>
    </row>
    <row r="779" spans="1:16" ht="13.5" customHeight="1">
      <c r="A779" s="380"/>
      <c r="B779" s="67" t="s">
        <v>950</v>
      </c>
      <c r="C779" s="35">
        <v>8</v>
      </c>
      <c r="D779" s="35">
        <v>1987</v>
      </c>
      <c r="E779" s="75">
        <v>10.876</v>
      </c>
      <c r="F779" s="75">
        <v>0.667</v>
      </c>
      <c r="G779" s="75">
        <v>1.28</v>
      </c>
      <c r="H779" s="75">
        <v>8.929</v>
      </c>
      <c r="I779" s="70">
        <v>382.22</v>
      </c>
      <c r="J779" s="75">
        <v>8.929</v>
      </c>
      <c r="K779" s="70">
        <v>382.22</v>
      </c>
      <c r="L779" s="64">
        <f>J779/K779</f>
        <v>0.02336089163309089</v>
      </c>
      <c r="M779" s="36">
        <v>201.868</v>
      </c>
      <c r="N779" s="65">
        <f>L779*M779</f>
        <v>4.715816472188791</v>
      </c>
      <c r="O779" s="65">
        <f>L779*60*1000</f>
        <v>1401.6534979854534</v>
      </c>
      <c r="P779" s="66">
        <f>O779*M779/1000</f>
        <v>282.9489883313275</v>
      </c>
    </row>
    <row r="780" spans="1:16" ht="12.75" customHeight="1">
      <c r="A780" s="380"/>
      <c r="B780" s="67" t="s">
        <v>452</v>
      </c>
      <c r="C780" s="35">
        <v>7</v>
      </c>
      <c r="D780" s="35">
        <v>1962</v>
      </c>
      <c r="E780" s="75">
        <v>5.771</v>
      </c>
      <c r="F780" s="75" t="s">
        <v>154</v>
      </c>
      <c r="G780" s="75" t="s">
        <v>154</v>
      </c>
      <c r="H780" s="75">
        <v>5.771</v>
      </c>
      <c r="I780" s="70">
        <v>246.96</v>
      </c>
      <c r="J780" s="75">
        <v>5.77</v>
      </c>
      <c r="K780" s="70">
        <v>246.96</v>
      </c>
      <c r="L780" s="64">
        <f>J780/K780</f>
        <v>0.023364107547781014</v>
      </c>
      <c r="M780" s="36">
        <v>328.526</v>
      </c>
      <c r="N780" s="65">
        <f>L780*M780</f>
        <v>7.675716796242305</v>
      </c>
      <c r="O780" s="65">
        <f>L780*60*1000</f>
        <v>1401.8464528668608</v>
      </c>
      <c r="P780" s="66">
        <f>O780*M780/1000</f>
        <v>460.5430077745383</v>
      </c>
    </row>
    <row r="781" spans="1:16" ht="12.75" customHeight="1">
      <c r="A781" s="380"/>
      <c r="B781" s="67" t="s">
        <v>557</v>
      </c>
      <c r="C781" s="35">
        <v>51</v>
      </c>
      <c r="D781" s="35" t="s">
        <v>156</v>
      </c>
      <c r="E781" s="263">
        <f>+F781+G781+H781</f>
        <v>48.328297</v>
      </c>
      <c r="F781" s="75">
        <v>1.719276</v>
      </c>
      <c r="G781" s="75">
        <v>0.41</v>
      </c>
      <c r="H781" s="75">
        <v>46.199021</v>
      </c>
      <c r="I781" s="70">
        <v>1976.97</v>
      </c>
      <c r="J781" s="75">
        <v>46.199021</v>
      </c>
      <c r="K781" s="70">
        <v>1976.97</v>
      </c>
      <c r="L781" s="64">
        <f>J781/K781</f>
        <v>0.02336859992817291</v>
      </c>
      <c r="M781" s="36">
        <v>279.803</v>
      </c>
      <c r="N781" s="65">
        <f>L781*M781</f>
        <v>6.5386043657025645</v>
      </c>
      <c r="O781" s="65">
        <f>L781*60*1000</f>
        <v>1402.1159956903746</v>
      </c>
      <c r="P781" s="66">
        <f>O781*M781/1000</f>
        <v>392.31626194215386</v>
      </c>
    </row>
    <row r="782" spans="1:16" ht="12.75" customHeight="1">
      <c r="A782" s="380"/>
      <c r="B782" s="67" t="s">
        <v>982</v>
      </c>
      <c r="C782" s="35">
        <v>12</v>
      </c>
      <c r="D782" s="35">
        <v>1965</v>
      </c>
      <c r="E782" s="75">
        <v>13.99</v>
      </c>
      <c r="F782" s="75">
        <v>1.232</v>
      </c>
      <c r="G782" s="75">
        <v>0.192</v>
      </c>
      <c r="H782" s="75">
        <v>12.566</v>
      </c>
      <c r="I782" s="70">
        <v>537.55</v>
      </c>
      <c r="J782" s="75">
        <v>11.576</v>
      </c>
      <c r="K782" s="70">
        <v>495.2</v>
      </c>
      <c r="L782" s="64">
        <f>J782/K782</f>
        <v>0.02337641357027464</v>
      </c>
      <c r="M782" s="36">
        <v>298.987</v>
      </c>
      <c r="N782" s="65">
        <f>L782*M782</f>
        <v>6.989243764135704</v>
      </c>
      <c r="O782" s="65">
        <f>L782*60*1000</f>
        <v>1402.5848142164782</v>
      </c>
      <c r="P782" s="66">
        <f>O782*M782/1000</f>
        <v>419.3546258481422</v>
      </c>
    </row>
    <row r="783" spans="1:16" ht="12.75" customHeight="1">
      <c r="A783" s="380"/>
      <c r="B783" s="67" t="s">
        <v>883</v>
      </c>
      <c r="C783" s="35">
        <v>16</v>
      </c>
      <c r="D783" s="35" t="s">
        <v>156</v>
      </c>
      <c r="E783" s="263">
        <f>+F783+G783+H783</f>
        <v>17.300747</v>
      </c>
      <c r="F783" s="75">
        <v>0.600912</v>
      </c>
      <c r="G783" s="75">
        <v>0.14</v>
      </c>
      <c r="H783" s="75">
        <v>16.559835</v>
      </c>
      <c r="I783" s="70">
        <v>707.83</v>
      </c>
      <c r="J783" s="75">
        <v>16.559835</v>
      </c>
      <c r="K783" s="70">
        <v>707.83</v>
      </c>
      <c r="L783" s="64">
        <f>J783/K783</f>
        <v>0.02339521495274289</v>
      </c>
      <c r="M783" s="36">
        <v>279.803</v>
      </c>
      <c r="N783" s="65">
        <f>L783*M783</f>
        <v>6.546051329422318</v>
      </c>
      <c r="O783" s="65">
        <f>L783*60*1000</f>
        <v>1403.7128971645734</v>
      </c>
      <c r="P783" s="66">
        <f>O783*M783/1000</f>
        <v>392.76307976533917</v>
      </c>
    </row>
    <row r="784" spans="1:16" ht="12.75" customHeight="1">
      <c r="A784" s="380"/>
      <c r="B784" s="67" t="s">
        <v>286</v>
      </c>
      <c r="C784" s="35">
        <v>4</v>
      </c>
      <c r="D784" s="35">
        <v>1930</v>
      </c>
      <c r="E784" s="75">
        <v>7.902</v>
      </c>
      <c r="F784" s="75">
        <v>0.357</v>
      </c>
      <c r="G784" s="75">
        <v>0.07</v>
      </c>
      <c r="H784" s="75">
        <v>7.475</v>
      </c>
      <c r="I784" s="70">
        <v>319.18</v>
      </c>
      <c r="J784" s="75">
        <v>3.74</v>
      </c>
      <c r="K784" s="70">
        <v>159.84</v>
      </c>
      <c r="L784" s="64">
        <f>J784/K784</f>
        <v>0.0233983983983984</v>
      </c>
      <c r="M784" s="36">
        <v>338.118</v>
      </c>
      <c r="N784" s="65">
        <f>L784*M784</f>
        <v>7.9114196696696695</v>
      </c>
      <c r="O784" s="65">
        <f>L784*60*1000</f>
        <v>1403.903903903904</v>
      </c>
      <c r="P784" s="66">
        <f>O784*M784/1000</f>
        <v>474.68518018018017</v>
      </c>
    </row>
    <row r="785" spans="1:16" ht="12.75" customHeight="1">
      <c r="A785" s="380"/>
      <c r="B785" s="67" t="s">
        <v>715</v>
      </c>
      <c r="C785" s="35">
        <v>25</v>
      </c>
      <c r="D785" s="35" t="s">
        <v>24</v>
      </c>
      <c r="E785" s="75">
        <v>26.46</v>
      </c>
      <c r="F785" s="75">
        <v>1.17</v>
      </c>
      <c r="G785" s="75">
        <v>3.92</v>
      </c>
      <c r="H785" s="75">
        <v>21.37</v>
      </c>
      <c r="I785" s="70">
        <v>912</v>
      </c>
      <c r="J785" s="75">
        <v>21.37</v>
      </c>
      <c r="K785" s="70">
        <v>912</v>
      </c>
      <c r="L785" s="64">
        <f>J785/K785</f>
        <v>0.02343201754385965</v>
      </c>
      <c r="M785" s="36">
        <v>234.2</v>
      </c>
      <c r="N785" s="65">
        <f>L785*M785</f>
        <v>5.48777850877193</v>
      </c>
      <c r="O785" s="65">
        <f>L785*60*1000</f>
        <v>1405.921052631579</v>
      </c>
      <c r="P785" s="66">
        <f>O785*M785/1000</f>
        <v>329.26671052631576</v>
      </c>
    </row>
    <row r="786" spans="1:16" ht="12.75" customHeight="1">
      <c r="A786" s="380"/>
      <c r="B786" s="217" t="s">
        <v>140</v>
      </c>
      <c r="C786" s="268">
        <v>17</v>
      </c>
      <c r="D786" s="218">
        <v>1983</v>
      </c>
      <c r="E786" s="219">
        <v>31.436999</v>
      </c>
      <c r="F786" s="220">
        <v>1.479</v>
      </c>
      <c r="G786" s="220">
        <v>2.88</v>
      </c>
      <c r="H786" s="220">
        <v>27.077999000000002</v>
      </c>
      <c r="I786" s="221">
        <v>1153.81</v>
      </c>
      <c r="J786" s="220">
        <v>27.077999000000002</v>
      </c>
      <c r="K786" s="221">
        <v>1153.81</v>
      </c>
      <c r="L786" s="222">
        <v>0.023468334474480202</v>
      </c>
      <c r="M786" s="223">
        <v>314.574</v>
      </c>
      <c r="N786" s="224">
        <v>7.382527848975135</v>
      </c>
      <c r="O786" s="224">
        <v>1408.100068468812</v>
      </c>
      <c r="P786" s="225">
        <v>442.9516709385081</v>
      </c>
    </row>
    <row r="787" spans="1:16" ht="12.75" customHeight="1">
      <c r="A787" s="380"/>
      <c r="B787" s="46" t="s">
        <v>60</v>
      </c>
      <c r="C787" s="25">
        <v>108</v>
      </c>
      <c r="D787" s="25">
        <v>1968</v>
      </c>
      <c r="E787" s="76">
        <v>87.67</v>
      </c>
      <c r="F787" s="76">
        <v>10.34</v>
      </c>
      <c r="G787" s="76">
        <v>17.2</v>
      </c>
      <c r="H787" s="76">
        <f>E787-F787-G787</f>
        <v>60.129999999999995</v>
      </c>
      <c r="I787" s="38">
        <v>2558.4</v>
      </c>
      <c r="J787" s="76">
        <f>H787/I787*K787</f>
        <v>60.12059881175734</v>
      </c>
      <c r="K787" s="25">
        <v>2558</v>
      </c>
      <c r="L787" s="47">
        <f>J787/K787</f>
        <v>0.02350297060662914</v>
      </c>
      <c r="M787" s="141">
        <f>294.4*1.09</f>
        <v>320.896</v>
      </c>
      <c r="N787" s="30">
        <f>L787*M787</f>
        <v>7.5420092557848655</v>
      </c>
      <c r="O787" s="30">
        <f>L787*60*1000</f>
        <v>1410.1782363977484</v>
      </c>
      <c r="P787" s="48">
        <f>O787*M787/1000</f>
        <v>452.5205553470919</v>
      </c>
    </row>
    <row r="788" spans="1:16" ht="12.75" customHeight="1">
      <c r="A788" s="380"/>
      <c r="B788" s="67" t="s">
        <v>850</v>
      </c>
      <c r="C788" s="35">
        <v>8</v>
      </c>
      <c r="D788" s="35">
        <v>1955</v>
      </c>
      <c r="E788" s="75">
        <v>12</v>
      </c>
      <c r="F788" s="75">
        <v>1.608</v>
      </c>
      <c r="G788" s="75">
        <v>1.2</v>
      </c>
      <c r="H788" s="75">
        <v>9.191</v>
      </c>
      <c r="I788" s="120" t="s">
        <v>838</v>
      </c>
      <c r="J788" s="75">
        <v>9.191</v>
      </c>
      <c r="K788" s="70">
        <v>390.37</v>
      </c>
      <c r="L788" s="64">
        <f>J788/K788</f>
        <v>0.023544329738453263</v>
      </c>
      <c r="M788" s="36">
        <v>346.4</v>
      </c>
      <c r="N788" s="65">
        <f>L788*M788</f>
        <v>8.15575582140021</v>
      </c>
      <c r="O788" s="65">
        <f>L788*60*1000</f>
        <v>1412.6597843071957</v>
      </c>
      <c r="P788" s="66">
        <f>O788*M788/1000</f>
        <v>489.34534928401257</v>
      </c>
    </row>
    <row r="789" spans="1:16" ht="13.5" customHeight="1">
      <c r="A789" s="380"/>
      <c r="B789" s="67" t="s">
        <v>951</v>
      </c>
      <c r="C789" s="35">
        <v>20</v>
      </c>
      <c r="D789" s="35">
        <v>1973</v>
      </c>
      <c r="E789" s="75">
        <v>29.29</v>
      </c>
      <c r="F789" s="75">
        <v>1.322</v>
      </c>
      <c r="G789" s="75">
        <v>3.04</v>
      </c>
      <c r="H789" s="75">
        <v>24.928</v>
      </c>
      <c r="I789" s="70">
        <v>1058.57</v>
      </c>
      <c r="J789" s="75">
        <v>24.928</v>
      </c>
      <c r="K789" s="70">
        <v>1058.57</v>
      </c>
      <c r="L789" s="64">
        <f>J789/K789</f>
        <v>0.023548749728407193</v>
      </c>
      <c r="M789" s="36">
        <v>201.868</v>
      </c>
      <c r="N789" s="65">
        <f>L789*M789</f>
        <v>4.753739010174103</v>
      </c>
      <c r="O789" s="65">
        <f>L789*60*1000</f>
        <v>1412.9249837044315</v>
      </c>
      <c r="P789" s="66">
        <f>O789*M789/1000</f>
        <v>285.2243406104462</v>
      </c>
    </row>
    <row r="790" spans="1:16" ht="12.75" customHeight="1">
      <c r="A790" s="380"/>
      <c r="B790" s="67" t="s">
        <v>203</v>
      </c>
      <c r="C790" s="35">
        <v>83</v>
      </c>
      <c r="D790" s="35">
        <v>1963</v>
      </c>
      <c r="E790" s="75">
        <v>34.959</v>
      </c>
      <c r="F790" s="75">
        <v>0</v>
      </c>
      <c r="G790" s="75">
        <v>0</v>
      </c>
      <c r="H790" s="75">
        <v>34.959</v>
      </c>
      <c r="I790" s="70">
        <v>1484.32</v>
      </c>
      <c r="J790" s="75">
        <v>33.247933</v>
      </c>
      <c r="K790" s="70">
        <v>1411.67</v>
      </c>
      <c r="L790" s="64">
        <v>0.023552</v>
      </c>
      <c r="M790" s="36">
        <v>277.1</v>
      </c>
      <c r="N790" s="65">
        <f>L790*M790*1.09</f>
        <v>7.1136225280000005</v>
      </c>
      <c r="O790" s="65">
        <f>L790*60*1000</f>
        <v>1413.12</v>
      </c>
      <c r="P790" s="66">
        <f>M790*O790/1000</f>
        <v>391.575552</v>
      </c>
    </row>
    <row r="791" spans="1:16" ht="12.75" customHeight="1">
      <c r="A791" s="380"/>
      <c r="B791" s="67" t="s">
        <v>884</v>
      </c>
      <c r="C791" s="35">
        <v>48</v>
      </c>
      <c r="D791" s="35" t="s">
        <v>156</v>
      </c>
      <c r="E791" s="263">
        <f>+F791+G791+H791</f>
        <v>46.682254</v>
      </c>
      <c r="F791" s="75">
        <v>1.546792</v>
      </c>
      <c r="G791" s="75">
        <v>0.41</v>
      </c>
      <c r="H791" s="75">
        <v>44.725462</v>
      </c>
      <c r="I791" s="70">
        <v>1897.76</v>
      </c>
      <c r="J791" s="75">
        <v>44.725462</v>
      </c>
      <c r="K791" s="70">
        <v>1897.76</v>
      </c>
      <c r="L791" s="64">
        <f>J791/K791</f>
        <v>0.023567501686198467</v>
      </c>
      <c r="M791" s="36">
        <v>279.803</v>
      </c>
      <c r="N791" s="65">
        <f>L791*M791</f>
        <v>6.59425767430339</v>
      </c>
      <c r="O791" s="65">
        <f>L791*60*1000</f>
        <v>1414.050101171908</v>
      </c>
      <c r="P791" s="66">
        <f>O791*M791/1000</f>
        <v>395.6554604582033</v>
      </c>
    </row>
    <row r="792" spans="1:16" ht="12.75" customHeight="1">
      <c r="A792" s="380"/>
      <c r="B792" s="46" t="s">
        <v>148</v>
      </c>
      <c r="C792" s="25">
        <v>24</v>
      </c>
      <c r="D792" s="25">
        <v>1966</v>
      </c>
      <c r="E792" s="76">
        <f>SUM(F792:H792)</f>
        <v>25.667</v>
      </c>
      <c r="F792" s="76"/>
      <c r="G792" s="76"/>
      <c r="H792" s="76">
        <v>25.667</v>
      </c>
      <c r="I792" s="38">
        <v>1087.21</v>
      </c>
      <c r="J792" s="76">
        <v>25.667</v>
      </c>
      <c r="K792" s="38">
        <v>1087.21</v>
      </c>
      <c r="L792" s="47">
        <f>J792/K792</f>
        <v>0.023608134583015243</v>
      </c>
      <c r="M792" s="30">
        <v>285.3</v>
      </c>
      <c r="N792" s="30">
        <f>L792*M792*1.09</f>
        <v>7.341586868222333</v>
      </c>
      <c r="O792" s="30">
        <f>L792*60*1000</f>
        <v>1416.4880749809145</v>
      </c>
      <c r="P792" s="48">
        <v>440.49521209333994</v>
      </c>
    </row>
    <row r="793" spans="1:16" ht="12.75" customHeight="1">
      <c r="A793" s="380"/>
      <c r="B793" s="67" t="s">
        <v>688</v>
      </c>
      <c r="C793" s="35">
        <v>45</v>
      </c>
      <c r="D793" s="35">
        <v>1970</v>
      </c>
      <c r="E793" s="75">
        <v>35.4454</v>
      </c>
      <c r="F793" s="75">
        <v>1.791477</v>
      </c>
      <c r="G793" s="75" t="s">
        <v>154</v>
      </c>
      <c r="H793" s="75">
        <v>33.653923</v>
      </c>
      <c r="I793" s="70">
        <v>1450.96</v>
      </c>
      <c r="J793" s="75">
        <v>31.89</v>
      </c>
      <c r="K793" s="70">
        <v>1350.75</v>
      </c>
      <c r="L793" s="64">
        <f>J793/K793</f>
        <v>0.023609106052193227</v>
      </c>
      <c r="M793" s="36">
        <v>328.526</v>
      </c>
      <c r="N793" s="65">
        <f>L793*M793</f>
        <v>7.756205174902832</v>
      </c>
      <c r="O793" s="65">
        <f>L793*60*1000</f>
        <v>1416.5463631315936</v>
      </c>
      <c r="P793" s="66">
        <f>O793*M793/1000</f>
        <v>465.37231049416994</v>
      </c>
    </row>
    <row r="794" spans="1:16" ht="12.75" customHeight="1">
      <c r="A794" s="380"/>
      <c r="B794" s="67" t="s">
        <v>112</v>
      </c>
      <c r="C794" s="35">
        <v>19</v>
      </c>
      <c r="D794" s="35">
        <v>1961</v>
      </c>
      <c r="E794" s="75">
        <v>22.41</v>
      </c>
      <c r="F794" s="75">
        <v>1.224</v>
      </c>
      <c r="G794" s="75">
        <v>0.21</v>
      </c>
      <c r="H794" s="75">
        <v>20.976</v>
      </c>
      <c r="I794" s="70">
        <v>886.26</v>
      </c>
      <c r="J794" s="75">
        <v>15.84</v>
      </c>
      <c r="K794" s="70">
        <v>669.1</v>
      </c>
      <c r="L794" s="64">
        <f>J794/K794</f>
        <v>0.023673591391421313</v>
      </c>
      <c r="M794" s="36">
        <v>338.118</v>
      </c>
      <c r="N794" s="65">
        <f>L794*M794</f>
        <v>8.00446737408459</v>
      </c>
      <c r="O794" s="65">
        <f>L794*60*1000</f>
        <v>1420.4154834852786</v>
      </c>
      <c r="P794" s="66">
        <f>O794*M794/1000</f>
        <v>480.2680424450754</v>
      </c>
    </row>
    <row r="795" spans="1:16" ht="12.75" customHeight="1">
      <c r="A795" s="380"/>
      <c r="B795" s="67" t="s">
        <v>303</v>
      </c>
      <c r="C795" s="35">
        <v>12</v>
      </c>
      <c r="D795" s="35">
        <v>1961</v>
      </c>
      <c r="E795" s="75">
        <v>14.749501</v>
      </c>
      <c r="F795" s="75">
        <v>0.663</v>
      </c>
      <c r="G795" s="75">
        <v>1.92</v>
      </c>
      <c r="H795" s="75">
        <v>12.166501</v>
      </c>
      <c r="I795" s="70">
        <v>513.65</v>
      </c>
      <c r="J795" s="75">
        <v>12.166501</v>
      </c>
      <c r="K795" s="70">
        <v>513.65</v>
      </c>
      <c r="L795" s="64">
        <v>0.023686</v>
      </c>
      <c r="M795" s="36">
        <v>277.1</v>
      </c>
      <c r="N795" s="65">
        <f>L795*M795*1.09</f>
        <v>7.154095754</v>
      </c>
      <c r="O795" s="65">
        <f>L795*60*1000</f>
        <v>1421.16</v>
      </c>
      <c r="P795" s="66">
        <f>M795*O795/1000</f>
        <v>393.80343600000003</v>
      </c>
    </row>
    <row r="796" spans="1:16" ht="12.75" customHeight="1">
      <c r="A796" s="380"/>
      <c r="B796" s="46" t="s">
        <v>501</v>
      </c>
      <c r="C796" s="25">
        <v>24</v>
      </c>
      <c r="D796" s="25" t="s">
        <v>24</v>
      </c>
      <c r="E796" s="76">
        <f>SUM(F796:H796)</f>
        <v>23.380000000000003</v>
      </c>
      <c r="F796" s="76">
        <v>1.17</v>
      </c>
      <c r="G796" s="76">
        <v>0.25</v>
      </c>
      <c r="H796" s="76">
        <v>21.96</v>
      </c>
      <c r="I796" s="38">
        <v>924.4</v>
      </c>
      <c r="J796" s="76">
        <v>21.96</v>
      </c>
      <c r="K796" s="38">
        <v>923.76</v>
      </c>
      <c r="L796" s="64">
        <f>J796/K796</f>
        <v>0.02377240841777085</v>
      </c>
      <c r="M796" s="36">
        <v>206.1</v>
      </c>
      <c r="N796" s="65">
        <f>L796*M796</f>
        <v>4.899493374902573</v>
      </c>
      <c r="O796" s="65">
        <f>L796*60*1000</f>
        <v>1426.344505066251</v>
      </c>
      <c r="P796" s="66">
        <f>O796*M796/1000</f>
        <v>293.96960249415434</v>
      </c>
    </row>
    <row r="797" spans="1:16" ht="12.75" customHeight="1">
      <c r="A797" s="380"/>
      <c r="B797" s="67" t="s">
        <v>749</v>
      </c>
      <c r="C797" s="35">
        <v>20</v>
      </c>
      <c r="D797" s="35">
        <v>1984</v>
      </c>
      <c r="E797" s="75">
        <v>30.74</v>
      </c>
      <c r="F797" s="75">
        <v>2.34</v>
      </c>
      <c r="G797" s="75">
        <v>3.2</v>
      </c>
      <c r="H797" s="75">
        <v>25.19</v>
      </c>
      <c r="I797" s="263"/>
      <c r="J797" s="75">
        <f>H797</f>
        <v>25.19</v>
      </c>
      <c r="K797" s="70">
        <v>1059</v>
      </c>
      <c r="L797" s="64">
        <f>J797/K797</f>
        <v>0.023786591123701607</v>
      </c>
      <c r="M797" s="36">
        <v>187.69</v>
      </c>
      <c r="N797" s="65">
        <f>L797*M797</f>
        <v>4.464505288007555</v>
      </c>
      <c r="O797" s="65">
        <f>L797*60*1000</f>
        <v>1427.1954674220963</v>
      </c>
      <c r="P797" s="66">
        <f>O797*M797/1000</f>
        <v>267.8703172804532</v>
      </c>
    </row>
    <row r="798" spans="1:16" ht="12.75" customHeight="1">
      <c r="A798" s="380"/>
      <c r="B798" s="67" t="s">
        <v>351</v>
      </c>
      <c r="C798" s="35">
        <v>8</v>
      </c>
      <c r="D798" s="35">
        <v>1987</v>
      </c>
      <c r="E798" s="75">
        <v>13.414</v>
      </c>
      <c r="F798" s="75">
        <v>1.1373</v>
      </c>
      <c r="G798" s="75">
        <v>1.28</v>
      </c>
      <c r="H798" s="75">
        <v>10.9967</v>
      </c>
      <c r="I798" s="70">
        <v>462.29</v>
      </c>
      <c r="J798" s="75">
        <v>11</v>
      </c>
      <c r="K798" s="70">
        <v>462.29</v>
      </c>
      <c r="L798" s="64">
        <f>J798/K798</f>
        <v>0.02379458781284475</v>
      </c>
      <c r="M798" s="36">
        <v>328.526</v>
      </c>
      <c r="N798" s="65">
        <f>L798*M798</f>
        <v>7.817140755802634</v>
      </c>
      <c r="O798" s="65">
        <f>L798*60*1000</f>
        <v>1427.6752687706849</v>
      </c>
      <c r="P798" s="66">
        <f>O798*M798/1000</f>
        <v>469.028445348158</v>
      </c>
    </row>
    <row r="799" spans="1:16" ht="13.5" customHeight="1">
      <c r="A799" s="380"/>
      <c r="B799" s="67" t="s">
        <v>780</v>
      </c>
      <c r="C799" s="35">
        <v>8</v>
      </c>
      <c r="D799" s="35">
        <v>1980</v>
      </c>
      <c r="E799" s="75">
        <v>11.4</v>
      </c>
      <c r="F799" s="75">
        <v>0.56</v>
      </c>
      <c r="G799" s="75">
        <v>1.28</v>
      </c>
      <c r="H799" s="75">
        <v>9.471</v>
      </c>
      <c r="I799" s="70">
        <v>398.99</v>
      </c>
      <c r="J799" s="75">
        <v>9.5</v>
      </c>
      <c r="K799" s="70">
        <v>399</v>
      </c>
      <c r="L799" s="64">
        <f>J799/K799</f>
        <v>0.023809523809523808</v>
      </c>
      <c r="M799" s="36">
        <v>224.1</v>
      </c>
      <c r="N799" s="65">
        <f>L799*M799</f>
        <v>5.335714285714285</v>
      </c>
      <c r="O799" s="65">
        <f>L799*60*1000</f>
        <v>1428.5714285714284</v>
      </c>
      <c r="P799" s="66">
        <f>O799*M799/1000</f>
        <v>320.1428571428571</v>
      </c>
    </row>
    <row r="800" spans="1:16" ht="13.5" customHeight="1">
      <c r="A800" s="380"/>
      <c r="B800" s="46" t="s">
        <v>69</v>
      </c>
      <c r="C800" s="25">
        <v>82</v>
      </c>
      <c r="D800" s="25">
        <v>1962</v>
      </c>
      <c r="E800" s="76">
        <v>37.63</v>
      </c>
      <c r="F800" s="76">
        <v>5.42</v>
      </c>
      <c r="G800" s="76"/>
      <c r="H800" s="76">
        <f>E800-F800-G800</f>
        <v>32.21</v>
      </c>
      <c r="I800" s="38">
        <v>1348.7</v>
      </c>
      <c r="J800" s="76">
        <f>H800/I800*K800</f>
        <v>30.091643805145694</v>
      </c>
      <c r="K800" s="25">
        <v>1260</v>
      </c>
      <c r="L800" s="47">
        <f>J800/K800</f>
        <v>0.02388225698821087</v>
      </c>
      <c r="M800" s="141">
        <f>294.4*1.09</f>
        <v>320.896</v>
      </c>
      <c r="N800" s="30">
        <f>L800*M800</f>
        <v>7.663720738488915</v>
      </c>
      <c r="O800" s="30">
        <f>L800*60*1000</f>
        <v>1432.935419292652</v>
      </c>
      <c r="P800" s="48">
        <f>O800*M800/1000</f>
        <v>459.8232443093349</v>
      </c>
    </row>
    <row r="801" spans="1:16" ht="12.75" customHeight="1">
      <c r="A801" s="380"/>
      <c r="B801" s="256" t="s">
        <v>928</v>
      </c>
      <c r="C801" s="35">
        <v>18</v>
      </c>
      <c r="D801" s="35"/>
      <c r="E801" s="251">
        <f>F801+G801+H801</f>
        <v>18.83</v>
      </c>
      <c r="F801" s="251">
        <v>1.78</v>
      </c>
      <c r="G801" s="251">
        <v>2.88</v>
      </c>
      <c r="H801" s="251">
        <v>14.17</v>
      </c>
      <c r="I801" s="252">
        <v>787.7</v>
      </c>
      <c r="J801" s="251">
        <f>E801</f>
        <v>18.83</v>
      </c>
      <c r="K801" s="252">
        <v>787.7</v>
      </c>
      <c r="L801" s="253">
        <f>J801/K801</f>
        <v>0.023905039989843845</v>
      </c>
      <c r="M801" s="258">
        <v>244.38</v>
      </c>
      <c r="N801" s="254">
        <f>L801*M801</f>
        <v>5.8419136727180385</v>
      </c>
      <c r="O801" s="254">
        <f>L801*60*1000</f>
        <v>1434.3023993906309</v>
      </c>
      <c r="P801" s="255">
        <f>O801*M801/1000</f>
        <v>350.5148203630823</v>
      </c>
    </row>
    <row r="802" spans="1:16" ht="12.75" customHeight="1">
      <c r="A802" s="380"/>
      <c r="B802" s="67" t="s">
        <v>689</v>
      </c>
      <c r="C802" s="35">
        <v>18</v>
      </c>
      <c r="D802" s="35">
        <v>1983</v>
      </c>
      <c r="E802" s="75">
        <v>22.377</v>
      </c>
      <c r="F802" s="75">
        <v>0.765</v>
      </c>
      <c r="G802" s="75">
        <v>3.05</v>
      </c>
      <c r="H802" s="75">
        <v>18.562</v>
      </c>
      <c r="I802" s="70">
        <v>773.56</v>
      </c>
      <c r="J802" s="75">
        <v>15.26</v>
      </c>
      <c r="K802" s="70">
        <v>636.06</v>
      </c>
      <c r="L802" s="64">
        <f>J802/K802</f>
        <v>0.023991447347734493</v>
      </c>
      <c r="M802" s="36">
        <v>328.526</v>
      </c>
      <c r="N802" s="65">
        <f>L802*M802</f>
        <v>7.8818142313618225</v>
      </c>
      <c r="O802" s="65">
        <f>L802*60*1000</f>
        <v>1439.4868408640696</v>
      </c>
      <c r="P802" s="66">
        <f>O802*M802/1000</f>
        <v>472.9088538817093</v>
      </c>
    </row>
    <row r="803" spans="1:16" ht="12.75" customHeight="1">
      <c r="A803" s="380"/>
      <c r="B803" s="67" t="s">
        <v>668</v>
      </c>
      <c r="C803" s="35">
        <v>8</v>
      </c>
      <c r="D803" s="35">
        <v>1959</v>
      </c>
      <c r="E803" s="75">
        <f>F803+G803+H803</f>
        <v>9.62</v>
      </c>
      <c r="F803" s="75">
        <v>0</v>
      </c>
      <c r="G803" s="75">
        <v>0</v>
      </c>
      <c r="H803" s="75">
        <v>9.62</v>
      </c>
      <c r="I803" s="70">
        <v>441.56</v>
      </c>
      <c r="J803" s="75">
        <v>9.62</v>
      </c>
      <c r="K803" s="70">
        <v>400.91</v>
      </c>
      <c r="L803" s="64">
        <f>J803/K803</f>
        <v>0.023995410441246163</v>
      </c>
      <c r="M803" s="36">
        <v>314.4</v>
      </c>
      <c r="N803" s="65">
        <f>L803*M803</f>
        <v>7.544157042727793</v>
      </c>
      <c r="O803" s="65">
        <f>L803*60*1000</f>
        <v>1439.7246264747698</v>
      </c>
      <c r="P803" s="66">
        <f>O803*M803/1000</f>
        <v>452.6494225636676</v>
      </c>
    </row>
    <row r="804" spans="1:16" ht="12.75" customHeight="1">
      <c r="A804" s="380"/>
      <c r="B804" s="67" t="s">
        <v>116</v>
      </c>
      <c r="C804" s="35">
        <v>8</v>
      </c>
      <c r="D804" s="35">
        <v>1970</v>
      </c>
      <c r="E804" s="75">
        <v>8.888999</v>
      </c>
      <c r="F804" s="75">
        <v>0.204</v>
      </c>
      <c r="G804" s="75">
        <v>0.96</v>
      </c>
      <c r="H804" s="75">
        <v>7.724999</v>
      </c>
      <c r="I804" s="70">
        <v>321.83</v>
      </c>
      <c r="J804" s="75">
        <v>5.419477</v>
      </c>
      <c r="K804" s="70">
        <v>225.78</v>
      </c>
      <c r="L804" s="64">
        <v>0.024003</v>
      </c>
      <c r="M804" s="36">
        <v>277.1</v>
      </c>
      <c r="N804" s="65">
        <f>L804*M804*1.09</f>
        <v>7.249842117000002</v>
      </c>
      <c r="O804" s="65">
        <f>L804*60*1000</f>
        <v>1440.18</v>
      </c>
      <c r="P804" s="66">
        <f>M804*O804/1000</f>
        <v>399.07387800000004</v>
      </c>
    </row>
    <row r="805" spans="1:16" ht="12.75" customHeight="1">
      <c r="A805" s="380"/>
      <c r="B805" s="67" t="s">
        <v>358</v>
      </c>
      <c r="C805" s="35">
        <v>10</v>
      </c>
      <c r="D805" s="35" t="s">
        <v>24</v>
      </c>
      <c r="E805" s="75">
        <v>14.65</v>
      </c>
      <c r="F805" s="75">
        <v>0.41</v>
      </c>
      <c r="G805" s="75">
        <v>1.52</v>
      </c>
      <c r="H805" s="75">
        <v>12.72</v>
      </c>
      <c r="I805" s="70">
        <v>528</v>
      </c>
      <c r="J805" s="75">
        <v>12.72</v>
      </c>
      <c r="K805" s="70">
        <v>528</v>
      </c>
      <c r="L805" s="64">
        <f>J805/K805</f>
        <v>0.024090909090909093</v>
      </c>
      <c r="M805" s="36">
        <v>234.2</v>
      </c>
      <c r="N805" s="65">
        <f>L805*M805</f>
        <v>5.64209090909091</v>
      </c>
      <c r="O805" s="65">
        <f>L805*60*1000</f>
        <v>1445.4545454545455</v>
      </c>
      <c r="P805" s="66">
        <f>O805*M805/1000</f>
        <v>338.5254545454545</v>
      </c>
    </row>
    <row r="806" spans="1:16" ht="12.75" customHeight="1">
      <c r="A806" s="380"/>
      <c r="B806" s="256" t="s">
        <v>929</v>
      </c>
      <c r="C806" s="35">
        <v>20</v>
      </c>
      <c r="D806" s="35">
        <v>1994</v>
      </c>
      <c r="E806" s="251">
        <f>F806+G806+H806</f>
        <v>29.84</v>
      </c>
      <c r="F806" s="251">
        <v>1.66</v>
      </c>
      <c r="G806" s="251">
        <v>3.2</v>
      </c>
      <c r="H806" s="251">
        <v>24.98</v>
      </c>
      <c r="I806" s="252">
        <v>1238.6</v>
      </c>
      <c r="J806" s="251">
        <f>E806</f>
        <v>29.84</v>
      </c>
      <c r="K806" s="252">
        <v>1238.61</v>
      </c>
      <c r="L806" s="253">
        <f>J806/K806</f>
        <v>0.024091521947990087</v>
      </c>
      <c r="M806" s="258">
        <v>244.38</v>
      </c>
      <c r="N806" s="254">
        <f>L806*M806</f>
        <v>5.887486133649817</v>
      </c>
      <c r="O806" s="254">
        <f>L806*60*1000</f>
        <v>1445.4913168794053</v>
      </c>
      <c r="P806" s="255">
        <f>O806*M806/1000</f>
        <v>353.2491680189891</v>
      </c>
    </row>
    <row r="807" spans="1:16" ht="12.75" customHeight="1">
      <c r="A807" s="380"/>
      <c r="B807" s="67" t="s">
        <v>750</v>
      </c>
      <c r="C807" s="35">
        <v>36</v>
      </c>
      <c r="D807" s="35">
        <v>1983</v>
      </c>
      <c r="E807" s="75">
        <v>59.36</v>
      </c>
      <c r="F807" s="75">
        <v>3.5</v>
      </c>
      <c r="G807" s="75">
        <v>5.76</v>
      </c>
      <c r="H807" s="75">
        <v>50</v>
      </c>
      <c r="I807" s="263"/>
      <c r="J807" s="75">
        <f>H807</f>
        <v>50</v>
      </c>
      <c r="K807" s="70">
        <v>2074</v>
      </c>
      <c r="L807" s="64">
        <f>J807/K807</f>
        <v>0.024108003857280617</v>
      </c>
      <c r="M807" s="36">
        <v>187.69</v>
      </c>
      <c r="N807" s="65">
        <f>L807*M807</f>
        <v>4.524831243972999</v>
      </c>
      <c r="O807" s="65">
        <f>L807*60*1000</f>
        <v>1446.4802314368371</v>
      </c>
      <c r="P807" s="66">
        <f>O807*M807/1000</f>
        <v>271.48987463837994</v>
      </c>
    </row>
    <row r="808" spans="1:16" ht="12.75" customHeight="1">
      <c r="A808" s="380"/>
      <c r="B808" s="67" t="s">
        <v>952</v>
      </c>
      <c r="C808" s="35">
        <v>8</v>
      </c>
      <c r="D808" s="35">
        <v>1968</v>
      </c>
      <c r="E808" s="75">
        <v>11.601</v>
      </c>
      <c r="F808" s="75">
        <v>0.723</v>
      </c>
      <c r="G808" s="75">
        <v>0.97</v>
      </c>
      <c r="H808" s="75">
        <v>9.908</v>
      </c>
      <c r="I808" s="70">
        <v>410.85</v>
      </c>
      <c r="J808" s="75">
        <v>9.908</v>
      </c>
      <c r="K808" s="70">
        <v>410.85</v>
      </c>
      <c r="L808" s="64">
        <f>J808/K808</f>
        <v>0.024115857368869415</v>
      </c>
      <c r="M808" s="36">
        <v>201.868</v>
      </c>
      <c r="N808" s="65">
        <f>L808*M808</f>
        <v>4.868219895338931</v>
      </c>
      <c r="O808" s="65">
        <f>L808*60*1000</f>
        <v>1446.951442132165</v>
      </c>
      <c r="P808" s="66">
        <f>O808*M808/1000</f>
        <v>292.0931937203359</v>
      </c>
    </row>
    <row r="809" spans="1:16" ht="12.75" customHeight="1">
      <c r="A809" s="380"/>
      <c r="B809" s="67" t="s">
        <v>690</v>
      </c>
      <c r="C809" s="35">
        <v>20</v>
      </c>
      <c r="D809" s="35">
        <v>1990</v>
      </c>
      <c r="E809" s="75">
        <v>23.24</v>
      </c>
      <c r="F809" s="75">
        <v>1.543821</v>
      </c>
      <c r="G809" s="75">
        <v>3.21</v>
      </c>
      <c r="H809" s="75">
        <v>18.486179</v>
      </c>
      <c r="I809" s="70">
        <v>766.34</v>
      </c>
      <c r="J809" s="75">
        <v>16.59</v>
      </c>
      <c r="K809" s="70">
        <v>687.87</v>
      </c>
      <c r="L809" s="64">
        <f>J809/K809</f>
        <v>0.024117929259889224</v>
      </c>
      <c r="M809" s="36">
        <v>328.526</v>
      </c>
      <c r="N809" s="65">
        <f>L809*M809</f>
        <v>7.923366828034368</v>
      </c>
      <c r="O809" s="65">
        <f>L809*60*1000</f>
        <v>1447.0757555933535</v>
      </c>
      <c r="P809" s="66">
        <f>O809*M809/1000</f>
        <v>475.4020096820621</v>
      </c>
    </row>
    <row r="810" spans="1:16" ht="12.75" customHeight="1">
      <c r="A810" s="380"/>
      <c r="B810" s="67" t="s">
        <v>451</v>
      </c>
      <c r="C810" s="35">
        <v>12</v>
      </c>
      <c r="D810" s="35">
        <v>1973</v>
      </c>
      <c r="E810" s="75">
        <v>14.2901</v>
      </c>
      <c r="F810" s="75">
        <v>0.867</v>
      </c>
      <c r="G810" s="75" t="s">
        <v>154</v>
      </c>
      <c r="H810" s="75">
        <v>13.4231</v>
      </c>
      <c r="I810" s="70">
        <v>556.26</v>
      </c>
      <c r="J810" s="75">
        <v>13.42</v>
      </c>
      <c r="K810" s="70">
        <v>556.26</v>
      </c>
      <c r="L810" s="64">
        <f>J810/K810</f>
        <v>0.02412540898141157</v>
      </c>
      <c r="M810" s="36">
        <v>328.526</v>
      </c>
      <c r="N810" s="65">
        <f>L810*M810</f>
        <v>7.925824111027218</v>
      </c>
      <c r="O810" s="65">
        <f>L810*60*1000</f>
        <v>1447.5245388846943</v>
      </c>
      <c r="P810" s="66">
        <f>O810*M810/1000</f>
        <v>475.5494466616331</v>
      </c>
    </row>
    <row r="811" spans="1:16" ht="12.75" customHeight="1">
      <c r="A811" s="380"/>
      <c r="B811" s="67" t="s">
        <v>206</v>
      </c>
      <c r="C811" s="35">
        <v>10</v>
      </c>
      <c r="D811" s="35">
        <v>1925</v>
      </c>
      <c r="E811" s="75">
        <f>F811+G811+H811</f>
        <v>13.280000000000001</v>
      </c>
      <c r="F811" s="75">
        <v>0.7</v>
      </c>
      <c r="G811" s="75">
        <v>1.52</v>
      </c>
      <c r="H811" s="75">
        <v>11.06</v>
      </c>
      <c r="I811" s="70">
        <v>547.67</v>
      </c>
      <c r="J811" s="75">
        <v>11.06</v>
      </c>
      <c r="K811" s="70">
        <v>458.42</v>
      </c>
      <c r="L811" s="64">
        <f>J811/K811</f>
        <v>0.024126347018018413</v>
      </c>
      <c r="M811" s="36">
        <v>314.4</v>
      </c>
      <c r="N811" s="65">
        <f>L811*M811</f>
        <v>7.5853235024649885</v>
      </c>
      <c r="O811" s="65">
        <f>L811*60*1000</f>
        <v>1447.5808210811047</v>
      </c>
      <c r="P811" s="66">
        <f>O811*M811/1000</f>
        <v>455.1194101478993</v>
      </c>
    </row>
    <row r="812" spans="1:16" ht="12.75" customHeight="1">
      <c r="A812" s="380"/>
      <c r="B812" s="46" t="s">
        <v>177</v>
      </c>
      <c r="C812" s="25">
        <v>40</v>
      </c>
      <c r="D812" s="25">
        <v>1960</v>
      </c>
      <c r="E812" s="76">
        <v>40.88</v>
      </c>
      <c r="F812" s="76">
        <v>3.829897</v>
      </c>
      <c r="G812" s="76">
        <v>0.4</v>
      </c>
      <c r="H812" s="76">
        <v>36.650103</v>
      </c>
      <c r="I812" s="38">
        <v>1514.97</v>
      </c>
      <c r="J812" s="76">
        <v>35.388731</v>
      </c>
      <c r="K812" s="38">
        <v>1462.83</v>
      </c>
      <c r="L812" s="47">
        <f>J812/K812</f>
        <v>0.02419196420636711</v>
      </c>
      <c r="M812" s="25">
        <v>298.66</v>
      </c>
      <c r="N812" s="30">
        <f>L812*M812</f>
        <v>7.225172029873602</v>
      </c>
      <c r="O812" s="30">
        <f>L812*60*1000</f>
        <v>1451.5178523820266</v>
      </c>
      <c r="P812" s="48">
        <f>O812*M812/1000</f>
        <v>433.5103217924161</v>
      </c>
    </row>
    <row r="813" spans="1:16" ht="12.75" customHeight="1">
      <c r="A813" s="380"/>
      <c r="B813" s="46" t="s">
        <v>45</v>
      </c>
      <c r="C813" s="25">
        <v>24</v>
      </c>
      <c r="D813" s="25">
        <v>1961</v>
      </c>
      <c r="E813" s="76">
        <v>24.223</v>
      </c>
      <c r="F813" s="76">
        <v>2.16085</v>
      </c>
      <c r="G813" s="76">
        <v>0</v>
      </c>
      <c r="H813" s="76">
        <v>22.06215</v>
      </c>
      <c r="I813" s="38">
        <v>911.79</v>
      </c>
      <c r="J813" s="76">
        <v>22.06215</v>
      </c>
      <c r="K813" s="38">
        <v>911.79</v>
      </c>
      <c r="L813" s="47">
        <f>J813/K813</f>
        <v>0.024196525515743757</v>
      </c>
      <c r="M813" s="25">
        <v>298.66</v>
      </c>
      <c r="N813" s="30">
        <f>L813*M813</f>
        <v>7.226534310532031</v>
      </c>
      <c r="O813" s="30">
        <f>L813*60*1000</f>
        <v>1451.7915309446255</v>
      </c>
      <c r="P813" s="48">
        <f>O813*M813/1000</f>
        <v>433.5920586319219</v>
      </c>
    </row>
    <row r="814" spans="1:16" ht="12.75" customHeight="1">
      <c r="A814" s="380"/>
      <c r="B814" s="67" t="s">
        <v>587</v>
      </c>
      <c r="C814" s="35">
        <v>13</v>
      </c>
      <c r="D814" s="35">
        <v>1968</v>
      </c>
      <c r="E814" s="75">
        <v>15.7507</v>
      </c>
      <c r="F814" s="75">
        <v>2.38615</v>
      </c>
      <c r="G814" s="75">
        <v>0.13</v>
      </c>
      <c r="H814" s="75">
        <f>E814-F814-G814</f>
        <v>13.234549999999999</v>
      </c>
      <c r="I814" s="70">
        <v>545.87</v>
      </c>
      <c r="J814" s="75">
        <f>H814</f>
        <v>13.234549999999999</v>
      </c>
      <c r="K814" s="70">
        <f>I814</f>
        <v>545.87</v>
      </c>
      <c r="L814" s="64">
        <f>J814/K814</f>
        <v>0.024244875153424807</v>
      </c>
      <c r="M814" s="36">
        <v>279.5</v>
      </c>
      <c r="N814" s="65">
        <f>L814*M814</f>
        <v>6.7764426053822335</v>
      </c>
      <c r="O814" s="65">
        <f>L814*60*1000</f>
        <v>1454.6925092054882</v>
      </c>
      <c r="P814" s="66">
        <f>O814*M814/1000</f>
        <v>406.586556322934</v>
      </c>
    </row>
    <row r="815" spans="1:16" ht="12.75" customHeight="1">
      <c r="A815" s="380"/>
      <c r="B815" s="46" t="s">
        <v>503</v>
      </c>
      <c r="C815" s="25">
        <v>22</v>
      </c>
      <c r="D815" s="25" t="s">
        <v>24</v>
      </c>
      <c r="E815" s="76">
        <f>SUM(F815:H815)</f>
        <v>19.213</v>
      </c>
      <c r="F815" s="76">
        <v>1.48</v>
      </c>
      <c r="G815" s="76">
        <v>0.163</v>
      </c>
      <c r="H815" s="76">
        <v>17.57</v>
      </c>
      <c r="I815" s="38">
        <v>892</v>
      </c>
      <c r="J815" s="76">
        <v>14.6</v>
      </c>
      <c r="K815" s="38">
        <v>602.03</v>
      </c>
      <c r="L815" s="64">
        <f>J815/K815</f>
        <v>0.02425128315864658</v>
      </c>
      <c r="M815" s="36">
        <v>206.1</v>
      </c>
      <c r="N815" s="65">
        <f>L815*M815</f>
        <v>4.99818945899706</v>
      </c>
      <c r="O815" s="65">
        <f>L815*60*1000</f>
        <v>1455.076989518795</v>
      </c>
      <c r="P815" s="66">
        <f>O815*M815/1000</f>
        <v>299.89136753982365</v>
      </c>
    </row>
    <row r="816" spans="1:16" ht="12.75" customHeight="1">
      <c r="A816" s="380"/>
      <c r="B816" s="67" t="s">
        <v>320</v>
      </c>
      <c r="C816" s="35">
        <v>5</v>
      </c>
      <c r="D816" s="35">
        <v>1957</v>
      </c>
      <c r="E816" s="75">
        <f>F816+G816+H816</f>
        <v>6.02</v>
      </c>
      <c r="F816" s="75">
        <v>0.38</v>
      </c>
      <c r="G816" s="75">
        <v>0.12</v>
      </c>
      <c r="H816" s="75">
        <v>5.52</v>
      </c>
      <c r="I816" s="70">
        <v>351.84</v>
      </c>
      <c r="J816" s="75">
        <v>5.52</v>
      </c>
      <c r="K816" s="70">
        <v>227.58</v>
      </c>
      <c r="L816" s="64">
        <f>J816/K816</f>
        <v>0.02425520696018982</v>
      </c>
      <c r="M816" s="36">
        <v>314.4</v>
      </c>
      <c r="N816" s="65">
        <f>L816*M816</f>
        <v>7.625837068283679</v>
      </c>
      <c r="O816" s="65">
        <f>L816*60*1000</f>
        <v>1455.3124176113893</v>
      </c>
      <c r="P816" s="66">
        <f>O816*M816/1000</f>
        <v>457.55022409702076</v>
      </c>
    </row>
    <row r="817" spans="1:16" ht="12.75" customHeight="1">
      <c r="A817" s="380"/>
      <c r="B817" s="67" t="s">
        <v>427</v>
      </c>
      <c r="C817" s="35">
        <v>4</v>
      </c>
      <c r="D817" s="35">
        <v>1850</v>
      </c>
      <c r="E817" s="75">
        <v>5.528</v>
      </c>
      <c r="F817" s="75">
        <v>0.255</v>
      </c>
      <c r="G817" s="75">
        <v>0.64</v>
      </c>
      <c r="H817" s="75">
        <v>4.633</v>
      </c>
      <c r="I817" s="70">
        <v>190.97</v>
      </c>
      <c r="J817" s="75">
        <v>3.758657</v>
      </c>
      <c r="K817" s="70">
        <v>154.93</v>
      </c>
      <c r="L817" s="64">
        <v>0.02426</v>
      </c>
      <c r="M817" s="36">
        <v>277.1</v>
      </c>
      <c r="N817" s="65">
        <f>L817*M817*1.09</f>
        <v>7.327466140000001</v>
      </c>
      <c r="O817" s="65">
        <f>L817*60*1000</f>
        <v>1455.6</v>
      </c>
      <c r="P817" s="66">
        <f>M817*O817/1000</f>
        <v>403.34676</v>
      </c>
    </row>
    <row r="818" spans="1:16" ht="12.75" customHeight="1">
      <c r="A818" s="380"/>
      <c r="B818" s="67" t="s">
        <v>415</v>
      </c>
      <c r="C818" s="35">
        <v>20</v>
      </c>
      <c r="D818" s="35">
        <v>1982</v>
      </c>
      <c r="E818" s="75">
        <v>30.16</v>
      </c>
      <c r="F818" s="75">
        <v>1.94</v>
      </c>
      <c r="G818" s="75">
        <v>3.2</v>
      </c>
      <c r="H818" s="75">
        <v>25</v>
      </c>
      <c r="I818" s="263"/>
      <c r="J818" s="75">
        <f>H818</f>
        <v>25</v>
      </c>
      <c r="K818" s="70">
        <v>1027</v>
      </c>
      <c r="L818" s="64">
        <f>J818/K818</f>
        <v>0.024342745861733205</v>
      </c>
      <c r="M818" s="36">
        <v>187.69</v>
      </c>
      <c r="N818" s="65">
        <f>L818*M818</f>
        <v>4.568889970788705</v>
      </c>
      <c r="O818" s="65">
        <f>L818*60*1000</f>
        <v>1460.5647517039924</v>
      </c>
      <c r="P818" s="66">
        <f>O818*M818/1000</f>
        <v>274.13339824732236</v>
      </c>
    </row>
    <row r="819" spans="1:16" ht="12.75" customHeight="1">
      <c r="A819" s="380"/>
      <c r="B819" s="46" t="s">
        <v>396</v>
      </c>
      <c r="C819" s="25">
        <v>12</v>
      </c>
      <c r="D819" s="25">
        <v>1963</v>
      </c>
      <c r="E819" s="76">
        <f>SUM(F819+G819+H819)</f>
        <v>15.7</v>
      </c>
      <c r="F819" s="76">
        <v>1</v>
      </c>
      <c r="G819" s="76">
        <v>1.7</v>
      </c>
      <c r="H819" s="76">
        <v>13</v>
      </c>
      <c r="I819" s="38">
        <v>533.92</v>
      </c>
      <c r="J819" s="76">
        <v>13</v>
      </c>
      <c r="K819" s="38">
        <v>533.9</v>
      </c>
      <c r="L819" s="47">
        <f>SUM(J819/K819)</f>
        <v>0.02434912905038397</v>
      </c>
      <c r="M819" s="30">
        <v>215.8</v>
      </c>
      <c r="N819" s="30">
        <f>SUM(L819*M819)</f>
        <v>5.25454204907286</v>
      </c>
      <c r="O819" s="30">
        <f>L819*60*1000</f>
        <v>1460.9477430230381</v>
      </c>
      <c r="P819" s="48">
        <f>SUM(N819*60)</f>
        <v>315.27252294437164</v>
      </c>
    </row>
    <row r="820" spans="1:16" ht="12.75" customHeight="1">
      <c r="A820" s="380"/>
      <c r="B820" s="46" t="s">
        <v>267</v>
      </c>
      <c r="C820" s="25">
        <v>108</v>
      </c>
      <c r="D820" s="25">
        <v>1971</v>
      </c>
      <c r="E820" s="76">
        <v>90.3</v>
      </c>
      <c r="F820" s="76">
        <v>8.2467</v>
      </c>
      <c r="G820" s="76">
        <v>17.28</v>
      </c>
      <c r="H820" s="76">
        <v>64.7733</v>
      </c>
      <c r="I820" s="38">
        <v>2657.8</v>
      </c>
      <c r="J820" s="76">
        <v>63.252548</v>
      </c>
      <c r="K820" s="38">
        <v>2595.4</v>
      </c>
      <c r="L820" s="47">
        <f>J820/K820</f>
        <v>0.024371021037219696</v>
      </c>
      <c r="M820" s="25">
        <v>298.66</v>
      </c>
      <c r="N820" s="30">
        <f>L820*M820</f>
        <v>7.278649142976035</v>
      </c>
      <c r="O820" s="30">
        <f>L820*60*1000</f>
        <v>1462.2612622331817</v>
      </c>
      <c r="P820" s="48">
        <f>O820*M820/1000</f>
        <v>436.71894857856205</v>
      </c>
    </row>
    <row r="821" spans="1:16" ht="13.5" customHeight="1">
      <c r="A821" s="380"/>
      <c r="B821" s="46" t="s">
        <v>180</v>
      </c>
      <c r="C821" s="25">
        <v>29</v>
      </c>
      <c r="D821" s="25">
        <v>1961</v>
      </c>
      <c r="E821" s="76">
        <v>38.45</v>
      </c>
      <c r="F821" s="76">
        <v>3.61</v>
      </c>
      <c r="G821" s="76"/>
      <c r="H821" s="76">
        <f>E821-F821-G821</f>
        <v>34.84</v>
      </c>
      <c r="I821" s="38">
        <v>1423.9</v>
      </c>
      <c r="J821" s="76">
        <f>H821/I821*K821</f>
        <v>31.392457335487045</v>
      </c>
      <c r="K821" s="25">
        <v>1283</v>
      </c>
      <c r="L821" s="47">
        <f>J821/K821</f>
        <v>0.024468010393988344</v>
      </c>
      <c r="M821" s="141">
        <f>294.4*1.09</f>
        <v>320.896</v>
      </c>
      <c r="N821" s="30">
        <f>L821*M821</f>
        <v>7.851686663389284</v>
      </c>
      <c r="O821" s="30">
        <f>L821*60*1000</f>
        <v>1468.0806236393007</v>
      </c>
      <c r="P821" s="48">
        <f>O821*M821/1000</f>
        <v>471.1011998033571</v>
      </c>
    </row>
    <row r="822" spans="1:16" ht="13.5" customHeight="1">
      <c r="A822" s="380"/>
      <c r="B822" s="67" t="s">
        <v>885</v>
      </c>
      <c r="C822" s="35">
        <v>12</v>
      </c>
      <c r="D822" s="35" t="s">
        <v>156</v>
      </c>
      <c r="E822" s="263">
        <f>+F822+G822+H822</f>
        <v>13.034559</v>
      </c>
      <c r="F822" s="75">
        <v>0</v>
      </c>
      <c r="G822" s="75">
        <v>0</v>
      </c>
      <c r="H822" s="75">
        <v>13.034559</v>
      </c>
      <c r="I822" s="70">
        <v>532.51</v>
      </c>
      <c r="J822" s="75">
        <v>13.034559</v>
      </c>
      <c r="K822" s="70">
        <v>532.51</v>
      </c>
      <c r="L822" s="64">
        <f>J822/K822</f>
        <v>0.024477585397457324</v>
      </c>
      <c r="M822" s="36">
        <v>279.803</v>
      </c>
      <c r="N822" s="65">
        <f>L822*M822</f>
        <v>6.8489018269647515</v>
      </c>
      <c r="O822" s="65">
        <f>L822*60*1000</f>
        <v>1468.6551238474394</v>
      </c>
      <c r="P822" s="66">
        <f>O822*M822/1000</f>
        <v>410.9341096178851</v>
      </c>
    </row>
    <row r="823" spans="1:16" ht="12.75" customHeight="1">
      <c r="A823" s="380"/>
      <c r="B823" s="217" t="s">
        <v>139</v>
      </c>
      <c r="C823" s="268">
        <v>12</v>
      </c>
      <c r="D823" s="218">
        <v>1968</v>
      </c>
      <c r="E823" s="219">
        <v>13.876999</v>
      </c>
      <c r="F823" s="220">
        <v>0.612</v>
      </c>
      <c r="G823" s="220">
        <v>0.12</v>
      </c>
      <c r="H823" s="220">
        <v>13.144999</v>
      </c>
      <c r="I823" s="221">
        <v>536.53</v>
      </c>
      <c r="J823" s="220">
        <v>13.144999</v>
      </c>
      <c r="K823" s="221">
        <v>536.53</v>
      </c>
      <c r="L823" s="222">
        <v>0.02450002609360148</v>
      </c>
      <c r="M823" s="223">
        <v>314.574</v>
      </c>
      <c r="N823" s="224">
        <v>7.707071208368592</v>
      </c>
      <c r="O823" s="224">
        <v>1470.0015656160888</v>
      </c>
      <c r="P823" s="225">
        <v>462.4242725021155</v>
      </c>
    </row>
    <row r="824" spans="1:16" ht="12.75" customHeight="1">
      <c r="A824" s="380"/>
      <c r="B824" s="67" t="s">
        <v>911</v>
      </c>
      <c r="C824" s="35">
        <v>43</v>
      </c>
      <c r="D824" s="35" t="s">
        <v>892</v>
      </c>
      <c r="E824" s="75">
        <v>26.2</v>
      </c>
      <c r="F824" s="75">
        <v>0</v>
      </c>
      <c r="G824" s="75">
        <v>0</v>
      </c>
      <c r="H824" s="75">
        <v>26.2</v>
      </c>
      <c r="I824" s="264"/>
      <c r="J824" s="75">
        <v>26.2</v>
      </c>
      <c r="K824" s="70">
        <v>1068.56</v>
      </c>
      <c r="L824" s="64">
        <f>J824/K824</f>
        <v>0.02451897881260762</v>
      </c>
      <c r="M824" s="36">
        <v>276.97</v>
      </c>
      <c r="N824" s="65">
        <f>L824*M824</f>
        <v>6.791021561727933</v>
      </c>
      <c r="O824" s="65">
        <f>L824*60*1000</f>
        <v>1471.1387287564573</v>
      </c>
      <c r="P824" s="66">
        <f>O824*M824/1000</f>
        <v>407.461293703676</v>
      </c>
    </row>
    <row r="825" spans="1:16" ht="12.75" customHeight="1">
      <c r="A825" s="380"/>
      <c r="B825" s="67" t="s">
        <v>547</v>
      </c>
      <c r="C825" s="35">
        <v>6</v>
      </c>
      <c r="D825" s="35">
        <v>1901</v>
      </c>
      <c r="E825" s="75">
        <v>7</v>
      </c>
      <c r="F825" s="75"/>
      <c r="G825" s="75"/>
      <c r="H825" s="75">
        <v>7</v>
      </c>
      <c r="I825" s="70">
        <v>284</v>
      </c>
      <c r="J825" s="75">
        <v>7</v>
      </c>
      <c r="K825" s="70">
        <v>284</v>
      </c>
      <c r="L825" s="64">
        <f>J825/K825</f>
        <v>0.02464788732394366</v>
      </c>
      <c r="M825" s="36">
        <v>250.6</v>
      </c>
      <c r="N825" s="65">
        <f>L825*M825</f>
        <v>6.176760563380281</v>
      </c>
      <c r="O825" s="65">
        <f>L825*60*1000</f>
        <v>1478.8732394366195</v>
      </c>
      <c r="P825" s="66">
        <f>O825*M825/1000</f>
        <v>370.60563380281684</v>
      </c>
    </row>
    <row r="826" spans="1:16" ht="12.75" customHeight="1">
      <c r="A826" s="380"/>
      <c r="B826" s="67" t="s">
        <v>304</v>
      </c>
      <c r="C826" s="35">
        <v>9</v>
      </c>
      <c r="D826" s="35">
        <v>1965</v>
      </c>
      <c r="E826" s="75">
        <v>10.576001</v>
      </c>
      <c r="F826" s="75">
        <v>0.663</v>
      </c>
      <c r="G826" s="75">
        <v>0.07</v>
      </c>
      <c r="H826" s="75">
        <v>9.843001</v>
      </c>
      <c r="I826" s="70">
        <v>399.34</v>
      </c>
      <c r="J826" s="75">
        <v>9.843001</v>
      </c>
      <c r="K826" s="70">
        <v>399.34</v>
      </c>
      <c r="L826" s="64">
        <v>0.024648</v>
      </c>
      <c r="M826" s="36">
        <v>277.1</v>
      </c>
      <c r="N826" s="65">
        <f>L826*M826*1.09</f>
        <v>7.444657272000001</v>
      </c>
      <c r="O826" s="65">
        <f>L826*60*1000</f>
        <v>1478.8799999999999</v>
      </c>
      <c r="P826" s="66">
        <f>M826*O826/1000</f>
        <v>409.797648</v>
      </c>
    </row>
    <row r="827" spans="1:16" ht="12.75" customHeight="1">
      <c r="A827" s="380"/>
      <c r="B827" s="46" t="s">
        <v>341</v>
      </c>
      <c r="C827" s="25">
        <v>7</v>
      </c>
      <c r="D827" s="25">
        <v>1938</v>
      </c>
      <c r="E827" s="76">
        <f>SUM(F827:H827)</f>
        <v>5.457</v>
      </c>
      <c r="F827" s="76"/>
      <c r="G827" s="76"/>
      <c r="H827" s="76">
        <v>5.457</v>
      </c>
      <c r="I827" s="38">
        <v>220.85</v>
      </c>
      <c r="J827" s="76">
        <v>5.457</v>
      </c>
      <c r="K827" s="38">
        <v>220.85</v>
      </c>
      <c r="L827" s="47">
        <f>J827/K827</f>
        <v>0.02470907856010867</v>
      </c>
      <c r="M827" s="30">
        <v>285.3</v>
      </c>
      <c r="N827" s="30">
        <f>L827*M827*1.09</f>
        <v>7.683955123386915</v>
      </c>
      <c r="O827" s="30">
        <f>L827*60*1000</f>
        <v>1482.5447136065202</v>
      </c>
      <c r="P827" s="48">
        <v>461.0373074032149</v>
      </c>
    </row>
    <row r="828" spans="1:16" ht="12.75" customHeight="1">
      <c r="A828" s="380"/>
      <c r="B828" s="67" t="s">
        <v>436</v>
      </c>
      <c r="C828" s="35">
        <v>48</v>
      </c>
      <c r="D828" s="35">
        <v>1981</v>
      </c>
      <c r="E828" s="75">
        <v>39.608998</v>
      </c>
      <c r="F828" s="75">
        <v>1.266075</v>
      </c>
      <c r="G828" s="75">
        <v>0.42</v>
      </c>
      <c r="H828" s="75">
        <v>37.922923</v>
      </c>
      <c r="I828" s="70">
        <v>1526.37</v>
      </c>
      <c r="J828" s="75">
        <v>37.068001</v>
      </c>
      <c r="K828" s="70">
        <v>1491.96</v>
      </c>
      <c r="L828" s="64">
        <f>J828/K828</f>
        <v>0.0248451707820585</v>
      </c>
      <c r="M828" s="36">
        <v>254.2</v>
      </c>
      <c r="N828" s="65">
        <f>L828*M828</f>
        <v>6.315642412799271</v>
      </c>
      <c r="O828" s="65">
        <f>L828*60*1000</f>
        <v>1490.71024692351</v>
      </c>
      <c r="P828" s="66">
        <f>O828*M828/1000</f>
        <v>378.9385447679563</v>
      </c>
    </row>
    <row r="829" spans="1:16" ht="12.75" customHeight="1">
      <c r="A829" s="380"/>
      <c r="B829" s="67" t="s">
        <v>648</v>
      </c>
      <c r="C829" s="35">
        <v>12</v>
      </c>
      <c r="D829" s="35">
        <v>1973</v>
      </c>
      <c r="E829" s="75">
        <v>12.674999</v>
      </c>
      <c r="F829" s="75">
        <v>0</v>
      </c>
      <c r="G829" s="75">
        <v>0</v>
      </c>
      <c r="H829" s="75">
        <v>12.674999</v>
      </c>
      <c r="I829" s="70">
        <v>510.06</v>
      </c>
      <c r="J829" s="75">
        <v>12.674999</v>
      </c>
      <c r="K829" s="70">
        <v>510.06</v>
      </c>
      <c r="L829" s="64">
        <v>0.02485</v>
      </c>
      <c r="M829" s="36">
        <v>277.1</v>
      </c>
      <c r="N829" s="65">
        <f>L829*M829*1.09</f>
        <v>7.505669150000001</v>
      </c>
      <c r="O829" s="65">
        <f>L829*60*1000</f>
        <v>1491</v>
      </c>
      <c r="P829" s="66">
        <f>M829*O829/1000</f>
        <v>413.15610000000004</v>
      </c>
    </row>
    <row r="830" spans="1:16" ht="12.75" customHeight="1">
      <c r="A830" s="380"/>
      <c r="B830" s="46" t="s">
        <v>395</v>
      </c>
      <c r="C830" s="25">
        <v>8</v>
      </c>
      <c r="D830" s="25">
        <v>1962</v>
      </c>
      <c r="E830" s="76">
        <f>SUM(F830+G830+H830)</f>
        <v>10.450000000000001</v>
      </c>
      <c r="F830" s="76">
        <v>0.5</v>
      </c>
      <c r="G830" s="76">
        <v>1.3</v>
      </c>
      <c r="H830" s="76">
        <v>8.65</v>
      </c>
      <c r="I830" s="38">
        <v>349.3</v>
      </c>
      <c r="J830" s="76">
        <v>7.6</v>
      </c>
      <c r="K830" s="38">
        <v>305.787</v>
      </c>
      <c r="L830" s="47">
        <f>SUM(J830/K830)</f>
        <v>0.024853901572009274</v>
      </c>
      <c r="M830" s="30">
        <v>215.8</v>
      </c>
      <c r="N830" s="30">
        <f>SUM(L830*M830)</f>
        <v>5.363471959239602</v>
      </c>
      <c r="O830" s="30">
        <f>L830*60*1000</f>
        <v>1491.2340943205563</v>
      </c>
      <c r="P830" s="48">
        <f>SUM(N830*60)</f>
        <v>321.8083175543761</v>
      </c>
    </row>
    <row r="831" spans="1:16" ht="12.75" customHeight="1">
      <c r="A831" s="380"/>
      <c r="B831" s="67" t="s">
        <v>851</v>
      </c>
      <c r="C831" s="35">
        <v>6</v>
      </c>
      <c r="D831" s="35" t="s">
        <v>24</v>
      </c>
      <c r="E831" s="75">
        <v>8.397</v>
      </c>
      <c r="F831" s="75">
        <v>0.339</v>
      </c>
      <c r="G831" s="75">
        <v>0.03</v>
      </c>
      <c r="H831" s="75">
        <v>7.198</v>
      </c>
      <c r="I831" s="120" t="s">
        <v>838</v>
      </c>
      <c r="J831" s="75">
        <v>7.198</v>
      </c>
      <c r="K831" s="70">
        <v>289.14</v>
      </c>
      <c r="L831" s="64">
        <f>J831/K831</f>
        <v>0.02489451476793249</v>
      </c>
      <c r="M831" s="36">
        <v>346.4</v>
      </c>
      <c r="N831" s="65">
        <f>L831*M831</f>
        <v>8.623459915611814</v>
      </c>
      <c r="O831" s="65">
        <f>L831*60*1000</f>
        <v>1493.6708860759495</v>
      </c>
      <c r="P831" s="66">
        <f>O831*M831/1000</f>
        <v>517.4075949367088</v>
      </c>
    </row>
    <row r="832" spans="1:16" ht="13.5" customHeight="1">
      <c r="A832" s="380"/>
      <c r="B832" s="67" t="s">
        <v>813</v>
      </c>
      <c r="C832" s="35">
        <v>13</v>
      </c>
      <c r="D832" s="35" t="s">
        <v>24</v>
      </c>
      <c r="E832" s="75">
        <f>F832+G832+H832</f>
        <v>20.33</v>
      </c>
      <c r="F832" s="75">
        <v>0.81</v>
      </c>
      <c r="G832" s="75">
        <v>2.25</v>
      </c>
      <c r="H832" s="75">
        <v>17.27</v>
      </c>
      <c r="I832" s="70">
        <v>880.52</v>
      </c>
      <c r="J832" s="75">
        <v>13.02</v>
      </c>
      <c r="K832" s="70">
        <v>522.48</v>
      </c>
      <c r="L832" s="64">
        <f>J832/K832</f>
        <v>0.024919614147909965</v>
      </c>
      <c r="M832" s="35">
        <v>351.85</v>
      </c>
      <c r="N832" s="65">
        <f>L832*M832</f>
        <v>8.767966237942122</v>
      </c>
      <c r="O832" s="65">
        <f>L832*60*1000</f>
        <v>1495.176848874598</v>
      </c>
      <c r="P832" s="66">
        <f>O832*M832/1000</f>
        <v>526.0779742765272</v>
      </c>
    </row>
    <row r="833" spans="1:16" ht="12.75" customHeight="1">
      <c r="A833" s="380"/>
      <c r="B833" s="67" t="s">
        <v>426</v>
      </c>
      <c r="C833" s="35">
        <v>22</v>
      </c>
      <c r="D833" s="35">
        <v>1960</v>
      </c>
      <c r="E833" s="75">
        <v>26.268002</v>
      </c>
      <c r="F833" s="75">
        <v>0.561</v>
      </c>
      <c r="G833" s="75">
        <v>3.04</v>
      </c>
      <c r="H833" s="75">
        <v>22.667002</v>
      </c>
      <c r="I833" s="70">
        <v>942.17</v>
      </c>
      <c r="J833" s="75">
        <v>15.72004</v>
      </c>
      <c r="K833" s="70">
        <v>630.57</v>
      </c>
      <c r="L833" s="64">
        <v>0.024929</v>
      </c>
      <c r="M833" s="36">
        <v>277.1</v>
      </c>
      <c r="N833" s="65">
        <f>L833*M833*1.09</f>
        <v>7.529530231000002</v>
      </c>
      <c r="O833" s="65">
        <f>L833*60*1000</f>
        <v>1495.74</v>
      </c>
      <c r="P833" s="66">
        <f>M833*O833/1000</f>
        <v>414.4695540000001</v>
      </c>
    </row>
    <row r="834" spans="1:16" ht="12.75" customHeight="1">
      <c r="A834" s="380"/>
      <c r="B834" s="67" t="s">
        <v>588</v>
      </c>
      <c r="C834" s="35">
        <v>32</v>
      </c>
      <c r="D834" s="35">
        <v>1961</v>
      </c>
      <c r="E834" s="75">
        <v>33.45</v>
      </c>
      <c r="F834" s="75">
        <v>3.23551</v>
      </c>
      <c r="G834" s="75">
        <v>0.32</v>
      </c>
      <c r="H834" s="75">
        <f>E834-F834-G834</f>
        <v>29.89449</v>
      </c>
      <c r="I834" s="70">
        <v>1197</v>
      </c>
      <c r="J834" s="75">
        <f>H834</f>
        <v>29.89449</v>
      </c>
      <c r="K834" s="70">
        <f>I834</f>
        <v>1197</v>
      </c>
      <c r="L834" s="64">
        <f>J834/K834</f>
        <v>0.02497451127819549</v>
      </c>
      <c r="M834" s="36">
        <v>279.5</v>
      </c>
      <c r="N834" s="65">
        <f>L834*M834</f>
        <v>6.9803759022556395</v>
      </c>
      <c r="O834" s="65">
        <f>L834*60*1000</f>
        <v>1498.4706766917293</v>
      </c>
      <c r="P834" s="66">
        <f>O834*M834/1000</f>
        <v>418.82255413533835</v>
      </c>
    </row>
    <row r="835" spans="1:16" ht="12.75" customHeight="1">
      <c r="A835" s="380"/>
      <c r="B835" s="67" t="s">
        <v>323</v>
      </c>
      <c r="C835" s="35">
        <v>11</v>
      </c>
      <c r="D835" s="35">
        <v>1974</v>
      </c>
      <c r="E835" s="75">
        <f>F835+G835+H835</f>
        <v>11.46</v>
      </c>
      <c r="F835" s="75">
        <v>0</v>
      </c>
      <c r="G835" s="75">
        <v>0</v>
      </c>
      <c r="H835" s="75">
        <v>11.46</v>
      </c>
      <c r="I835" s="70">
        <v>1073.94</v>
      </c>
      <c r="J835" s="75">
        <v>11.46</v>
      </c>
      <c r="K835" s="70">
        <v>458.54</v>
      </c>
      <c r="L835" s="64">
        <f>J835/K835</f>
        <v>0.024992367078117503</v>
      </c>
      <c r="M835" s="36">
        <v>314.4</v>
      </c>
      <c r="N835" s="65">
        <f>L835*M835</f>
        <v>7.857600209360142</v>
      </c>
      <c r="O835" s="65">
        <f>L835*60*1000</f>
        <v>1499.5420246870501</v>
      </c>
      <c r="P835" s="66">
        <f>O835*M835/1000</f>
        <v>471.45601256160853</v>
      </c>
    </row>
    <row r="836" spans="1:16" ht="12.75" customHeight="1">
      <c r="A836" s="380"/>
      <c r="B836" s="67" t="s">
        <v>886</v>
      </c>
      <c r="C836" s="35">
        <v>8</v>
      </c>
      <c r="D836" s="35" t="s">
        <v>156</v>
      </c>
      <c r="E836" s="263">
        <f>+F836+G836+H836</f>
        <v>10.881495</v>
      </c>
      <c r="F836" s="75">
        <v>0</v>
      </c>
      <c r="G836" s="75">
        <v>0</v>
      </c>
      <c r="H836" s="75">
        <v>10.881495</v>
      </c>
      <c r="I836" s="70">
        <v>435.35</v>
      </c>
      <c r="J836" s="75">
        <v>10.881495</v>
      </c>
      <c r="K836" s="70">
        <v>435.35</v>
      </c>
      <c r="L836" s="64">
        <f>J836/K836</f>
        <v>0.02499482025956127</v>
      </c>
      <c r="M836" s="36">
        <v>279.803</v>
      </c>
      <c r="N836" s="65">
        <f>L836*M836</f>
        <v>6.993625693086022</v>
      </c>
      <c r="O836" s="65">
        <f>L836*60*1000</f>
        <v>1499.6892155736762</v>
      </c>
      <c r="P836" s="66">
        <f>O836*M836/1000</f>
        <v>419.6175415851613</v>
      </c>
    </row>
    <row r="837" spans="1:16" ht="12.75" customHeight="1">
      <c r="A837" s="380"/>
      <c r="B837" s="67" t="s">
        <v>549</v>
      </c>
      <c r="C837" s="35">
        <v>6</v>
      </c>
      <c r="D837" s="35">
        <v>1958</v>
      </c>
      <c r="E837" s="75">
        <v>9.7</v>
      </c>
      <c r="F837" s="75"/>
      <c r="G837" s="75"/>
      <c r="H837" s="75">
        <v>9.7</v>
      </c>
      <c r="I837" s="70">
        <v>388</v>
      </c>
      <c r="J837" s="75">
        <v>9.7</v>
      </c>
      <c r="K837" s="70">
        <v>388</v>
      </c>
      <c r="L837" s="64">
        <f>J837/K837</f>
        <v>0.024999999999999998</v>
      </c>
      <c r="M837" s="36">
        <v>250.6</v>
      </c>
      <c r="N837" s="65">
        <f>L837*M837</f>
        <v>6.265</v>
      </c>
      <c r="O837" s="65">
        <f>L837*60*1000</f>
        <v>1499.9999999999998</v>
      </c>
      <c r="P837" s="66">
        <f>O837*M837/1000</f>
        <v>375.8999999999999</v>
      </c>
    </row>
    <row r="838" spans="1:16" ht="12.75" customHeight="1">
      <c r="A838" s="380"/>
      <c r="B838" s="67" t="s">
        <v>239</v>
      </c>
      <c r="C838" s="35">
        <v>8</v>
      </c>
      <c r="D838" s="35">
        <v>1968</v>
      </c>
      <c r="E838" s="75">
        <v>10.337</v>
      </c>
      <c r="F838" s="75">
        <v>0.408</v>
      </c>
      <c r="G838" s="75">
        <v>0.07</v>
      </c>
      <c r="H838" s="75">
        <v>9.859</v>
      </c>
      <c r="I838" s="70">
        <v>394.35</v>
      </c>
      <c r="J838" s="75">
        <v>9.859</v>
      </c>
      <c r="K838" s="70">
        <v>394.35</v>
      </c>
      <c r="L838" s="64">
        <v>0.025</v>
      </c>
      <c r="M838" s="36">
        <v>277.1</v>
      </c>
      <c r="N838" s="65">
        <f>L838*M838*1.09</f>
        <v>7.550975000000002</v>
      </c>
      <c r="O838" s="65">
        <f>L838*60*1000</f>
        <v>1500</v>
      </c>
      <c r="P838" s="66">
        <f>M838*O838/1000</f>
        <v>415.65000000000003</v>
      </c>
    </row>
    <row r="839" spans="1:16" ht="13.5" customHeight="1">
      <c r="A839" s="380"/>
      <c r="B839" s="46" t="s">
        <v>42</v>
      </c>
      <c r="C839" s="25">
        <v>13</v>
      </c>
      <c r="D839" s="25">
        <v>1961</v>
      </c>
      <c r="E839" s="76">
        <v>16.5145</v>
      </c>
      <c r="F839" s="76">
        <v>1.596004</v>
      </c>
      <c r="G839" s="76">
        <v>0.13</v>
      </c>
      <c r="H839" s="76">
        <v>14.788496</v>
      </c>
      <c r="I839" s="38">
        <v>591.36</v>
      </c>
      <c r="J839" s="76">
        <v>12.414274</v>
      </c>
      <c r="K839" s="38">
        <v>496.42</v>
      </c>
      <c r="L839" s="47">
        <f>J839/K839</f>
        <v>0.02500760243342331</v>
      </c>
      <c r="M839" s="25">
        <v>298.66</v>
      </c>
      <c r="N839" s="30">
        <f>L839*M839</f>
        <v>7.468770542766207</v>
      </c>
      <c r="O839" s="30">
        <f>L839*60*1000</f>
        <v>1500.4561460053988</v>
      </c>
      <c r="P839" s="48">
        <f>O839*M839/1000</f>
        <v>448.12623256597243</v>
      </c>
    </row>
    <row r="840" spans="1:16" ht="12.75" customHeight="1">
      <c r="A840" s="380"/>
      <c r="B840" s="67" t="s">
        <v>794</v>
      </c>
      <c r="C840" s="35">
        <v>8</v>
      </c>
      <c r="D840" s="35">
        <v>1968</v>
      </c>
      <c r="E840" s="75">
        <v>11.509</v>
      </c>
      <c r="F840" s="75">
        <v>0.504</v>
      </c>
      <c r="G840" s="75">
        <v>1.28</v>
      </c>
      <c r="H840" s="75">
        <v>9.725</v>
      </c>
      <c r="I840" s="70">
        <v>388.26</v>
      </c>
      <c r="J840" s="75">
        <v>9.725</v>
      </c>
      <c r="K840" s="70">
        <v>388.26</v>
      </c>
      <c r="L840" s="64">
        <f>J840/K840</f>
        <v>0.025047648482975325</v>
      </c>
      <c r="M840" s="36">
        <v>216.6</v>
      </c>
      <c r="N840" s="65">
        <f>L840*M840</f>
        <v>5.425320661412456</v>
      </c>
      <c r="O840" s="65">
        <f>L840*60*1000</f>
        <v>1502.8589089785196</v>
      </c>
      <c r="P840" s="66">
        <f>O840*M840/1000</f>
        <v>325.51923968474733</v>
      </c>
    </row>
    <row r="841" spans="1:16" ht="12.75" customHeight="1">
      <c r="A841" s="380"/>
      <c r="B841" s="67" t="s">
        <v>589</v>
      </c>
      <c r="C841" s="35">
        <v>29</v>
      </c>
      <c r="D841" s="35">
        <v>1961</v>
      </c>
      <c r="E841" s="75">
        <v>53.0808</v>
      </c>
      <c r="F841" s="75">
        <v>4.92961</v>
      </c>
      <c r="G841" s="75">
        <v>0.48</v>
      </c>
      <c r="H841" s="75">
        <f>E841-F841-G841</f>
        <v>47.67119</v>
      </c>
      <c r="I841" s="70">
        <v>1902.43</v>
      </c>
      <c r="J841" s="75">
        <f>H841</f>
        <v>47.67119</v>
      </c>
      <c r="K841" s="70">
        <f>I841</f>
        <v>1902.43</v>
      </c>
      <c r="L841" s="64">
        <f>J841/K841</f>
        <v>0.025058052070247</v>
      </c>
      <c r="M841" s="36">
        <v>279.5</v>
      </c>
      <c r="N841" s="65">
        <f>L841*M841</f>
        <v>7.003725553634037</v>
      </c>
      <c r="O841" s="65">
        <f>L841*60*1000</f>
        <v>1503.4831242148198</v>
      </c>
      <c r="P841" s="66">
        <f>O841*M841/1000</f>
        <v>420.2235332180421</v>
      </c>
    </row>
    <row r="842" spans="1:16" ht="12.75" customHeight="1">
      <c r="A842" s="380"/>
      <c r="B842" s="67" t="s">
        <v>814</v>
      </c>
      <c r="C842" s="35">
        <v>9</v>
      </c>
      <c r="D842" s="35" t="s">
        <v>24</v>
      </c>
      <c r="E842" s="75">
        <f>F842+G842+H842</f>
        <v>16.433</v>
      </c>
      <c r="F842" s="75">
        <v>0.378</v>
      </c>
      <c r="G842" s="75">
        <v>1.84</v>
      </c>
      <c r="H842" s="75">
        <v>14.215</v>
      </c>
      <c r="I842" s="70">
        <v>775.39</v>
      </c>
      <c r="J842" s="75">
        <v>10.7</v>
      </c>
      <c r="K842" s="70">
        <v>426.62</v>
      </c>
      <c r="L842" s="64">
        <f>J842/K842</f>
        <v>0.025080868219961555</v>
      </c>
      <c r="M842" s="35">
        <v>351.85</v>
      </c>
      <c r="N842" s="65">
        <f>L842*M842</f>
        <v>8.824703483193474</v>
      </c>
      <c r="O842" s="65">
        <f>L842*60*1000</f>
        <v>1504.8520931976932</v>
      </c>
      <c r="P842" s="66">
        <f>O842*M842/1000</f>
        <v>529.4822089916083</v>
      </c>
    </row>
    <row r="843" spans="1:16" ht="12.75" customHeight="1">
      <c r="A843" s="380"/>
      <c r="B843" s="67" t="s">
        <v>306</v>
      </c>
      <c r="C843" s="35">
        <v>4</v>
      </c>
      <c r="D843" s="35">
        <v>1870</v>
      </c>
      <c r="E843" s="75">
        <v>5.1743</v>
      </c>
      <c r="F843" s="75">
        <v>0.4845</v>
      </c>
      <c r="G843" s="75">
        <v>0.64</v>
      </c>
      <c r="H843" s="75">
        <v>4.0498</v>
      </c>
      <c r="I843" s="70">
        <v>160.97</v>
      </c>
      <c r="J843" s="75">
        <v>4.0498</v>
      </c>
      <c r="K843" s="70">
        <v>160.97</v>
      </c>
      <c r="L843" s="64">
        <v>0.025158</v>
      </c>
      <c r="M843" s="36">
        <v>277.1</v>
      </c>
      <c r="N843" s="65">
        <f>L843*M843*1.09</f>
        <v>7.5986971620000014</v>
      </c>
      <c r="O843" s="65">
        <f>L843*60*1000</f>
        <v>1509.48</v>
      </c>
      <c r="P843" s="66">
        <f>M843*O843/1000</f>
        <v>418.27690800000005</v>
      </c>
    </row>
    <row r="844" spans="1:16" ht="12.75" customHeight="1">
      <c r="A844" s="380"/>
      <c r="B844" s="81" t="s">
        <v>174</v>
      </c>
      <c r="C844" s="35">
        <v>8</v>
      </c>
      <c r="D844" s="35" t="s">
        <v>24</v>
      </c>
      <c r="E844" s="75">
        <f>F844+G844+H844</f>
        <v>10.369</v>
      </c>
      <c r="F844" s="75">
        <v>0.162</v>
      </c>
      <c r="G844" s="75">
        <v>1.28</v>
      </c>
      <c r="H844" s="75">
        <v>8.927</v>
      </c>
      <c r="I844" s="70">
        <v>354.78</v>
      </c>
      <c r="J844" s="75">
        <v>8.927</v>
      </c>
      <c r="K844" s="70">
        <v>354.78</v>
      </c>
      <c r="L844" s="64">
        <f>J844/K844</f>
        <v>0.02516207227013924</v>
      </c>
      <c r="M844" s="35">
        <v>351.85</v>
      </c>
      <c r="N844" s="65">
        <f>L844*M844</f>
        <v>8.853275128248493</v>
      </c>
      <c r="O844" s="65">
        <f>L844*60*1000</f>
        <v>1509.7243362083545</v>
      </c>
      <c r="P844" s="66">
        <f>O844*M844/1000</f>
        <v>531.1965076949095</v>
      </c>
    </row>
    <row r="845" spans="1:16" ht="12.75" customHeight="1">
      <c r="A845" s="380"/>
      <c r="B845" s="46" t="s">
        <v>268</v>
      </c>
      <c r="C845" s="25">
        <v>55</v>
      </c>
      <c r="D845" s="25">
        <v>1977</v>
      </c>
      <c r="E845" s="76">
        <v>69.05</v>
      </c>
      <c r="F845" s="76">
        <v>4.61</v>
      </c>
      <c r="G845" s="76">
        <v>8.56</v>
      </c>
      <c r="H845" s="76">
        <f>E845-F845-G845</f>
        <v>55.879999999999995</v>
      </c>
      <c r="I845" s="38">
        <v>2217.3</v>
      </c>
      <c r="J845" s="76">
        <f>H845/I845*K845</f>
        <v>55.87243945338925</v>
      </c>
      <c r="K845" s="25">
        <v>2217</v>
      </c>
      <c r="L845" s="47">
        <f>J845/K845</f>
        <v>0.025201822035809313</v>
      </c>
      <c r="M845" s="141">
        <f>294.4*1.09</f>
        <v>320.896</v>
      </c>
      <c r="N845" s="30">
        <f>L845*M845</f>
        <v>8.087163884003065</v>
      </c>
      <c r="O845" s="30">
        <f>L845*60*1000</f>
        <v>1512.1093221485587</v>
      </c>
      <c r="P845" s="48">
        <f>O845*M845/1000</f>
        <v>485.22983304018396</v>
      </c>
    </row>
    <row r="846" spans="1:16" ht="13.5" customHeight="1">
      <c r="A846" s="380"/>
      <c r="B846" s="67" t="s">
        <v>795</v>
      </c>
      <c r="C846" s="35">
        <v>9</v>
      </c>
      <c r="D846" s="35">
        <v>1982</v>
      </c>
      <c r="E846" s="75">
        <v>11.277</v>
      </c>
      <c r="F846" s="75">
        <v>0.784</v>
      </c>
      <c r="G846" s="75">
        <v>0.09</v>
      </c>
      <c r="H846" s="75">
        <v>10.403</v>
      </c>
      <c r="I846" s="70">
        <v>412.32</v>
      </c>
      <c r="J846" s="75">
        <v>10.403</v>
      </c>
      <c r="K846" s="70">
        <v>412.32</v>
      </c>
      <c r="L846" s="64">
        <f>J846/K846</f>
        <v>0.025230403570042685</v>
      </c>
      <c r="M846" s="36">
        <v>216.6</v>
      </c>
      <c r="N846" s="65">
        <f>L846*M846</f>
        <v>5.464905413271246</v>
      </c>
      <c r="O846" s="65">
        <f>L846*60*1000</f>
        <v>1513.824214202561</v>
      </c>
      <c r="P846" s="66">
        <f>O846*M846/1000</f>
        <v>327.8943247962747</v>
      </c>
    </row>
    <row r="847" spans="1:16" ht="12.75" customHeight="1">
      <c r="A847" s="380"/>
      <c r="B847" s="67" t="s">
        <v>290</v>
      </c>
      <c r="C847" s="35">
        <v>11</v>
      </c>
      <c r="D847" s="35">
        <v>1961</v>
      </c>
      <c r="E847" s="75">
        <v>13.802</v>
      </c>
      <c r="F847" s="75">
        <v>0.459</v>
      </c>
      <c r="G847" s="75">
        <v>0.11</v>
      </c>
      <c r="H847" s="75">
        <v>13.233</v>
      </c>
      <c r="I847" s="70">
        <v>524.32</v>
      </c>
      <c r="J847" s="75">
        <v>11.99</v>
      </c>
      <c r="K847" s="70">
        <v>474.9</v>
      </c>
      <c r="L847" s="64">
        <f>J847/K847</f>
        <v>0.025247420509580967</v>
      </c>
      <c r="M847" s="36">
        <v>338.118</v>
      </c>
      <c r="N847" s="65">
        <f>L847*M847</f>
        <v>8.536607327858498</v>
      </c>
      <c r="O847" s="65">
        <f>L847*60*1000</f>
        <v>1514.845230574858</v>
      </c>
      <c r="P847" s="66">
        <f>O847*M847/1000</f>
        <v>512.1964396715099</v>
      </c>
    </row>
    <row r="848" spans="1:16" ht="12.75" customHeight="1">
      <c r="A848" s="380"/>
      <c r="B848" s="256" t="s">
        <v>930</v>
      </c>
      <c r="C848" s="35">
        <v>10</v>
      </c>
      <c r="D848" s="35">
        <v>1971</v>
      </c>
      <c r="E848" s="251">
        <f>F848+G848+H848</f>
        <v>16.4</v>
      </c>
      <c r="F848" s="251">
        <v>0.77</v>
      </c>
      <c r="G848" s="251">
        <v>1.6</v>
      </c>
      <c r="H848" s="251">
        <v>14.03</v>
      </c>
      <c r="I848" s="252">
        <v>649.3</v>
      </c>
      <c r="J848" s="251">
        <f>E848</f>
        <v>16.4</v>
      </c>
      <c r="K848" s="252">
        <v>649.3</v>
      </c>
      <c r="L848" s="253">
        <f>J848/K848</f>
        <v>0.025257970121669488</v>
      </c>
      <c r="M848" s="258">
        <v>244.38</v>
      </c>
      <c r="N848" s="254">
        <f>L848*M848</f>
        <v>6.17254273833359</v>
      </c>
      <c r="O848" s="254">
        <f>L848*60*1000</f>
        <v>1515.4782073001693</v>
      </c>
      <c r="P848" s="255">
        <f>O848*M848/1000</f>
        <v>370.35256430001533</v>
      </c>
    </row>
    <row r="849" spans="1:16" ht="12.75" customHeight="1">
      <c r="A849" s="380"/>
      <c r="B849" s="67" t="s">
        <v>289</v>
      </c>
      <c r="C849" s="35">
        <v>6</v>
      </c>
      <c r="D849" s="35">
        <v>1930</v>
      </c>
      <c r="E849" s="75">
        <v>7.927</v>
      </c>
      <c r="F849" s="75">
        <v>0.204</v>
      </c>
      <c r="G849" s="75">
        <v>0.8</v>
      </c>
      <c r="H849" s="75">
        <v>6.923</v>
      </c>
      <c r="I849" s="70">
        <v>323.39</v>
      </c>
      <c r="J849" s="75">
        <v>6.74</v>
      </c>
      <c r="K849" s="70">
        <v>266.7</v>
      </c>
      <c r="L849" s="64">
        <f>J849/K849</f>
        <v>0.025271841019872517</v>
      </c>
      <c r="M849" s="36">
        <v>338.118</v>
      </c>
      <c r="N849" s="65">
        <f>L849*M849</f>
        <v>8.544864341957256</v>
      </c>
      <c r="O849" s="65">
        <f>L849*60*1000</f>
        <v>1516.310461192351</v>
      </c>
      <c r="P849" s="66">
        <f>O849*M849/1000</f>
        <v>512.6918605174353</v>
      </c>
    </row>
    <row r="850" spans="1:16" ht="12.75" customHeight="1">
      <c r="A850" s="380"/>
      <c r="B850" s="46" t="s">
        <v>499</v>
      </c>
      <c r="C850" s="25">
        <v>107</v>
      </c>
      <c r="D850" s="25" t="s">
        <v>24</v>
      </c>
      <c r="E850" s="76">
        <f>SUM(F850:H850)</f>
        <v>88.44</v>
      </c>
      <c r="F850" s="76">
        <v>3.67</v>
      </c>
      <c r="G850" s="76">
        <v>17.37</v>
      </c>
      <c r="H850" s="76">
        <v>67.4</v>
      </c>
      <c r="I850" s="38">
        <v>2639.07</v>
      </c>
      <c r="J850" s="76">
        <v>61.95</v>
      </c>
      <c r="K850" s="38">
        <v>2449.16</v>
      </c>
      <c r="L850" s="64">
        <f>J850/K850</f>
        <v>0.02529438664685035</v>
      </c>
      <c r="M850" s="36">
        <v>206.1</v>
      </c>
      <c r="N850" s="65">
        <f>L850*M850</f>
        <v>5.213173087915857</v>
      </c>
      <c r="O850" s="65">
        <f>L850*60*1000</f>
        <v>1517.663198811021</v>
      </c>
      <c r="P850" s="66">
        <f>O850*M850/1000</f>
        <v>312.7903852749514</v>
      </c>
    </row>
    <row r="851" spans="1:16" ht="12.75" customHeight="1">
      <c r="A851" s="380"/>
      <c r="B851" s="67" t="s">
        <v>953</v>
      </c>
      <c r="C851" s="35">
        <v>8</v>
      </c>
      <c r="D851" s="35">
        <v>1960</v>
      </c>
      <c r="E851" s="75">
        <v>10.601</v>
      </c>
      <c r="F851" s="75">
        <v>0.272</v>
      </c>
      <c r="G851" s="75">
        <v>1.28</v>
      </c>
      <c r="H851" s="75">
        <v>9.049</v>
      </c>
      <c r="I851" s="70">
        <v>357.67</v>
      </c>
      <c r="J851" s="75">
        <v>9.049</v>
      </c>
      <c r="K851" s="70">
        <v>357.67</v>
      </c>
      <c r="L851" s="64">
        <f>J851/K851</f>
        <v>0.025299857410462156</v>
      </c>
      <c r="M851" s="36">
        <v>201.87</v>
      </c>
      <c r="N851" s="65">
        <f>L851*M851</f>
        <v>5.107282215449995</v>
      </c>
      <c r="O851" s="65">
        <f>L851*60*1000</f>
        <v>1517.9914446277294</v>
      </c>
      <c r="P851" s="66">
        <f>O851*M851/1000</f>
        <v>306.43693292699976</v>
      </c>
    </row>
    <row r="852" spans="1:16" ht="13.5" customHeight="1">
      <c r="A852" s="380"/>
      <c r="B852" s="67" t="s">
        <v>691</v>
      </c>
      <c r="C852" s="35">
        <v>10</v>
      </c>
      <c r="D852" s="35">
        <v>1958</v>
      </c>
      <c r="E852" s="75">
        <v>11.1319</v>
      </c>
      <c r="F852" s="75" t="s">
        <v>154</v>
      </c>
      <c r="G852" s="75" t="s">
        <v>154</v>
      </c>
      <c r="H852" s="75">
        <v>11.1319</v>
      </c>
      <c r="I852" s="70">
        <v>439.06</v>
      </c>
      <c r="J852" s="75">
        <v>11.13</v>
      </c>
      <c r="K852" s="70">
        <v>439.06</v>
      </c>
      <c r="L852" s="64">
        <f>J852/K852</f>
        <v>0.025349610531590218</v>
      </c>
      <c r="M852" s="36">
        <v>328.526</v>
      </c>
      <c r="N852" s="65">
        <f>L852*M852</f>
        <v>8.328006149501208</v>
      </c>
      <c r="O852" s="65">
        <f>L852*60*1000</f>
        <v>1520.976631895413</v>
      </c>
      <c r="P852" s="66">
        <f>O852*M852/1000</f>
        <v>499.6803689700725</v>
      </c>
    </row>
    <row r="853" spans="1:16" ht="12.75" customHeight="1">
      <c r="A853" s="380"/>
      <c r="B853" s="67" t="s">
        <v>417</v>
      </c>
      <c r="C853" s="35">
        <v>53</v>
      </c>
      <c r="D853" s="35">
        <v>1915</v>
      </c>
      <c r="E853" s="75">
        <v>12.73408</v>
      </c>
      <c r="F853" s="75">
        <v>2.08589</v>
      </c>
      <c r="G853" s="75">
        <v>0.7</v>
      </c>
      <c r="H853" s="75">
        <f>E853-F853-G853</f>
        <v>9.94819</v>
      </c>
      <c r="I853" s="70">
        <v>392.4</v>
      </c>
      <c r="J853" s="75">
        <f>H853</f>
        <v>9.94819</v>
      </c>
      <c r="K853" s="70">
        <f>I853</f>
        <v>392.4</v>
      </c>
      <c r="L853" s="64">
        <f>J853/K853</f>
        <v>0.025352166156982672</v>
      </c>
      <c r="M853" s="36">
        <v>279.5</v>
      </c>
      <c r="N853" s="65">
        <f>L853*M853</f>
        <v>7.085930440876657</v>
      </c>
      <c r="O853" s="65">
        <f>L853*60*1000</f>
        <v>1521.1299694189604</v>
      </c>
      <c r="P853" s="66">
        <f>O853*M853/1000</f>
        <v>425.15582645259946</v>
      </c>
    </row>
    <row r="854" spans="1:16" ht="12.75" customHeight="1">
      <c r="A854" s="380"/>
      <c r="B854" s="256" t="s">
        <v>931</v>
      </c>
      <c r="C854" s="35">
        <v>36</v>
      </c>
      <c r="D854" s="35">
        <v>1984</v>
      </c>
      <c r="E854" s="251">
        <f>F854+G854+H854</f>
        <v>36.300000000000004</v>
      </c>
      <c r="F854" s="251">
        <v>1.78</v>
      </c>
      <c r="G854" s="251">
        <v>5.76</v>
      </c>
      <c r="H854" s="251">
        <v>28.76</v>
      </c>
      <c r="I854" s="252">
        <v>1431.02</v>
      </c>
      <c r="J854" s="251">
        <f>E854</f>
        <v>36.300000000000004</v>
      </c>
      <c r="K854" s="252">
        <v>1431.02</v>
      </c>
      <c r="L854" s="253">
        <f>J854/K854</f>
        <v>0.025366521781666228</v>
      </c>
      <c r="M854" s="258">
        <v>244.38</v>
      </c>
      <c r="N854" s="254">
        <f>L854*M854</f>
        <v>6.199070593003593</v>
      </c>
      <c r="O854" s="254">
        <f>L854*60*1000</f>
        <v>1521.9913068999738</v>
      </c>
      <c r="P854" s="255">
        <f>O854*M854/1000</f>
        <v>371.9442355802156</v>
      </c>
    </row>
    <row r="855" spans="1:16" ht="12.75" customHeight="1">
      <c r="A855" s="380"/>
      <c r="B855" s="67" t="s">
        <v>649</v>
      </c>
      <c r="C855" s="35">
        <v>5</v>
      </c>
      <c r="D855" s="35">
        <v>1938</v>
      </c>
      <c r="E855" s="75">
        <v>4.288002</v>
      </c>
      <c r="F855" s="75">
        <v>0</v>
      </c>
      <c r="G855" s="75">
        <v>0</v>
      </c>
      <c r="H855" s="75">
        <v>4.288002</v>
      </c>
      <c r="I855" s="70">
        <v>168.56</v>
      </c>
      <c r="J855" s="75">
        <v>4.288002</v>
      </c>
      <c r="K855" s="70">
        <v>168.56</v>
      </c>
      <c r="L855" s="64">
        <v>0.025439</v>
      </c>
      <c r="M855" s="36">
        <v>277.1</v>
      </c>
      <c r="N855" s="65">
        <f>L855*M855*1.09</f>
        <v>7.683570121000001</v>
      </c>
      <c r="O855" s="65">
        <f>L855*60*1000</f>
        <v>1526.34</v>
      </c>
      <c r="P855" s="66">
        <f>M855*O855/1000</f>
        <v>422.948814</v>
      </c>
    </row>
    <row r="856" spans="1:16" ht="12.75" customHeight="1">
      <c r="A856" s="380"/>
      <c r="B856" s="46" t="s">
        <v>85</v>
      </c>
      <c r="C856" s="25">
        <v>11</v>
      </c>
      <c r="D856" s="25">
        <v>1910</v>
      </c>
      <c r="E856" s="76">
        <v>14.7265</v>
      </c>
      <c r="F856" s="76">
        <v>0.902425</v>
      </c>
      <c r="G856" s="76">
        <v>0</v>
      </c>
      <c r="H856" s="76">
        <v>13.824075</v>
      </c>
      <c r="I856" s="38">
        <v>542.57</v>
      </c>
      <c r="J856" s="76">
        <v>11.48231</v>
      </c>
      <c r="K856" s="38">
        <v>450.66</v>
      </c>
      <c r="L856" s="47">
        <f>J856/K856</f>
        <v>0.025478875427151288</v>
      </c>
      <c r="M856" s="25">
        <v>298.66</v>
      </c>
      <c r="N856" s="30">
        <f>L856*M856</f>
        <v>7.609520935073005</v>
      </c>
      <c r="O856" s="30">
        <f>L856*60*1000</f>
        <v>1528.7325256290774</v>
      </c>
      <c r="P856" s="48">
        <f>O856*M856/1000</f>
        <v>456.5712561043803</v>
      </c>
    </row>
    <row r="857" spans="1:16" ht="12.75" customHeight="1">
      <c r="A857" s="380"/>
      <c r="B857" s="67" t="s">
        <v>218</v>
      </c>
      <c r="C857" s="35">
        <v>18</v>
      </c>
      <c r="D857" s="35">
        <v>1974</v>
      </c>
      <c r="E857" s="75">
        <v>21.751</v>
      </c>
      <c r="F857" s="75">
        <v>1.326</v>
      </c>
      <c r="G857" s="75" t="s">
        <v>154</v>
      </c>
      <c r="H857" s="75">
        <v>20.425</v>
      </c>
      <c r="I857" s="70">
        <v>799.56</v>
      </c>
      <c r="J857" s="75">
        <v>20.42</v>
      </c>
      <c r="K857" s="70">
        <v>799.56</v>
      </c>
      <c r="L857" s="64">
        <f>J857/K857</f>
        <v>0.02553904647556156</v>
      </c>
      <c r="M857" s="36">
        <v>328.526</v>
      </c>
      <c r="N857" s="65">
        <f>L857*M857</f>
        <v>8.390240782430338</v>
      </c>
      <c r="O857" s="65">
        <f>L857*60*1000</f>
        <v>1532.3427885336937</v>
      </c>
      <c r="P857" s="66">
        <f>O857*M857/1000</f>
        <v>503.4144469458203</v>
      </c>
    </row>
    <row r="858" spans="1:16" ht="12.75" customHeight="1">
      <c r="A858" s="380"/>
      <c r="B858" s="67" t="s">
        <v>305</v>
      </c>
      <c r="C858" s="35">
        <v>6</v>
      </c>
      <c r="D858" s="35">
        <v>1959</v>
      </c>
      <c r="E858" s="75">
        <v>9.462</v>
      </c>
      <c r="F858" s="75">
        <v>0.3825</v>
      </c>
      <c r="G858" s="75">
        <v>0.96</v>
      </c>
      <c r="H858" s="75">
        <v>8.1195</v>
      </c>
      <c r="I858" s="70">
        <v>317.83</v>
      </c>
      <c r="J858" s="75">
        <v>8.1195</v>
      </c>
      <c r="K858" s="70">
        <v>317.83</v>
      </c>
      <c r="L858" s="64">
        <v>0.025546</v>
      </c>
      <c r="M858" s="36">
        <v>277.1</v>
      </c>
      <c r="N858" s="65">
        <f>L858*M858*1.09</f>
        <v>7.715888294000001</v>
      </c>
      <c r="O858" s="65">
        <f>L858*60*1000</f>
        <v>1532.76</v>
      </c>
      <c r="P858" s="66">
        <f>M858*O858/1000</f>
        <v>424.727796</v>
      </c>
    </row>
    <row r="859" spans="1:16" ht="13.5" customHeight="1">
      <c r="A859" s="380"/>
      <c r="B859" s="46" t="s">
        <v>393</v>
      </c>
      <c r="C859" s="25">
        <v>34</v>
      </c>
      <c r="D859" s="25">
        <v>1964</v>
      </c>
      <c r="E859" s="76">
        <f>SUM(F859+G859+H859)</f>
        <v>30.4</v>
      </c>
      <c r="F859" s="76">
        <v>2</v>
      </c>
      <c r="G859" s="76">
        <v>0.2</v>
      </c>
      <c r="H859" s="76">
        <v>28.2</v>
      </c>
      <c r="I859" s="38">
        <v>1101.75</v>
      </c>
      <c r="J859" s="76">
        <v>28.2</v>
      </c>
      <c r="K859" s="38">
        <v>1101.8</v>
      </c>
      <c r="L859" s="47">
        <f>SUM(J859/K859)</f>
        <v>0.025594481757124705</v>
      </c>
      <c r="M859" s="30">
        <v>215.8</v>
      </c>
      <c r="N859" s="30">
        <f>SUM(L859*M859)</f>
        <v>5.523289163187512</v>
      </c>
      <c r="O859" s="30">
        <f>L859*60*1000</f>
        <v>1535.6689054274823</v>
      </c>
      <c r="P859" s="48">
        <f>SUM(N859*60)</f>
        <v>331.3973497912507</v>
      </c>
    </row>
    <row r="860" spans="1:16" ht="12.75" customHeight="1">
      <c r="A860" s="380"/>
      <c r="B860" s="67" t="s">
        <v>852</v>
      </c>
      <c r="C860" s="35">
        <v>12</v>
      </c>
      <c r="D860" s="35">
        <v>1959</v>
      </c>
      <c r="E860" s="75">
        <v>14.7</v>
      </c>
      <c r="F860" s="75">
        <v>0.566</v>
      </c>
      <c r="G860" s="75">
        <v>0.61</v>
      </c>
      <c r="H860" s="75">
        <v>13.524</v>
      </c>
      <c r="I860" s="120" t="s">
        <v>838</v>
      </c>
      <c r="J860" s="75">
        <v>13.524</v>
      </c>
      <c r="K860" s="70">
        <v>527.71</v>
      </c>
      <c r="L860" s="64">
        <f>J860/K860</f>
        <v>0.025627712190407607</v>
      </c>
      <c r="M860" s="36">
        <v>346.4</v>
      </c>
      <c r="N860" s="65">
        <f>L860*M860</f>
        <v>8.877439502757195</v>
      </c>
      <c r="O860" s="65">
        <f>L860*60*1000</f>
        <v>1537.6627314244565</v>
      </c>
      <c r="P860" s="66">
        <f>O860*M860/1000</f>
        <v>532.6463701654318</v>
      </c>
    </row>
    <row r="861" spans="1:16" ht="12.75" customHeight="1">
      <c r="A861" s="380"/>
      <c r="B861" s="67" t="s">
        <v>231</v>
      </c>
      <c r="C861" s="35">
        <v>10</v>
      </c>
      <c r="D861" s="35"/>
      <c r="E861" s="75">
        <v>16.5</v>
      </c>
      <c r="F861" s="75">
        <v>1.019</v>
      </c>
      <c r="G861" s="75">
        <v>1.6</v>
      </c>
      <c r="H861" s="75">
        <v>13.881</v>
      </c>
      <c r="I861" s="70">
        <v>541.41</v>
      </c>
      <c r="J861" s="75">
        <v>13.9</v>
      </c>
      <c r="K861" s="70">
        <v>541.4</v>
      </c>
      <c r="L861" s="64">
        <f>J861/K861</f>
        <v>0.025674178056889548</v>
      </c>
      <c r="M861" s="36">
        <v>224.1</v>
      </c>
      <c r="N861" s="65">
        <f>L861*M861</f>
        <v>5.753583302548948</v>
      </c>
      <c r="O861" s="65">
        <f>L861*60*1000</f>
        <v>1540.4506834133729</v>
      </c>
      <c r="P861" s="66">
        <f>O861*M861/1000</f>
        <v>345.21499815293686</v>
      </c>
    </row>
    <row r="862" spans="1:16" ht="12.75" customHeight="1">
      <c r="A862" s="380"/>
      <c r="B862" s="67" t="s">
        <v>517</v>
      </c>
      <c r="C862" s="35">
        <v>24</v>
      </c>
      <c r="D862" s="35" t="s">
        <v>24</v>
      </c>
      <c r="E862" s="75">
        <f>F862+G862+H862</f>
        <v>28.488</v>
      </c>
      <c r="F862" s="75">
        <v>1.891</v>
      </c>
      <c r="G862" s="75">
        <v>0.24</v>
      </c>
      <c r="H862" s="75">
        <v>26.357</v>
      </c>
      <c r="I862" s="70">
        <v>1026.08</v>
      </c>
      <c r="J862" s="75">
        <v>26.357</v>
      </c>
      <c r="K862" s="70">
        <v>1026.08</v>
      </c>
      <c r="L862" s="64">
        <f>J862/K862</f>
        <v>0.025687080929362234</v>
      </c>
      <c r="M862" s="35">
        <v>351.85</v>
      </c>
      <c r="N862" s="65">
        <f>L862*M862</f>
        <v>9.037999424996103</v>
      </c>
      <c r="O862" s="65">
        <f>L862*60*1000</f>
        <v>1541.224855761734</v>
      </c>
      <c r="P862" s="66">
        <f>O862*M862/1000</f>
        <v>542.2799654997661</v>
      </c>
    </row>
    <row r="863" spans="1:16" ht="12.75" customHeight="1">
      <c r="A863" s="380"/>
      <c r="B863" s="46" t="s">
        <v>397</v>
      </c>
      <c r="C863" s="25">
        <v>8</v>
      </c>
      <c r="D863" s="25">
        <v>1959</v>
      </c>
      <c r="E863" s="76">
        <f>SUM(F863+G863+H863)</f>
        <v>7.8</v>
      </c>
      <c r="F863" s="76">
        <v>0</v>
      </c>
      <c r="G863" s="76">
        <v>0</v>
      </c>
      <c r="H863" s="76">
        <v>7.8</v>
      </c>
      <c r="I863" s="38">
        <v>303.83</v>
      </c>
      <c r="J863" s="76">
        <v>6.6</v>
      </c>
      <c r="K863" s="38">
        <v>256.9</v>
      </c>
      <c r="L863" s="47">
        <f>SUM(J863/K863)</f>
        <v>0.025690930323082912</v>
      </c>
      <c r="M863" s="30">
        <v>215.8</v>
      </c>
      <c r="N863" s="30">
        <f>SUM(L863*M863)</f>
        <v>5.544102763721293</v>
      </c>
      <c r="O863" s="30">
        <f>L863*60*1000</f>
        <v>1541.4558193849748</v>
      </c>
      <c r="P863" s="48">
        <f>SUM(N863*60)</f>
        <v>332.64616582327756</v>
      </c>
    </row>
    <row r="864" spans="1:16" ht="12.75" customHeight="1">
      <c r="A864" s="380"/>
      <c r="B864" s="67" t="s">
        <v>781</v>
      </c>
      <c r="C864" s="35">
        <v>8</v>
      </c>
      <c r="D864" s="35">
        <v>1958</v>
      </c>
      <c r="E864" s="75">
        <v>11.1</v>
      </c>
      <c r="F864" s="75">
        <v>0.764</v>
      </c>
      <c r="G864" s="75">
        <v>1.12</v>
      </c>
      <c r="H864" s="75">
        <v>9.216</v>
      </c>
      <c r="I864" s="70">
        <v>356.49</v>
      </c>
      <c r="J864" s="75">
        <v>9.2</v>
      </c>
      <c r="K864" s="70">
        <v>356.5</v>
      </c>
      <c r="L864" s="64">
        <f>J864/K864</f>
        <v>0.025806451612903222</v>
      </c>
      <c r="M864" s="36">
        <v>224.1</v>
      </c>
      <c r="N864" s="65">
        <f>L864*M864</f>
        <v>5.783225806451612</v>
      </c>
      <c r="O864" s="65">
        <f>L864*60*1000</f>
        <v>1548.3870967741932</v>
      </c>
      <c r="P864" s="66">
        <f>O864*M864/1000</f>
        <v>346.99354838709667</v>
      </c>
    </row>
    <row r="865" spans="1:16" ht="12.75" customHeight="1">
      <c r="A865" s="380"/>
      <c r="B865" s="217" t="s">
        <v>328</v>
      </c>
      <c r="C865" s="268">
        <v>6</v>
      </c>
      <c r="D865" s="218">
        <v>1968</v>
      </c>
      <c r="E865" s="219">
        <v>6.514998</v>
      </c>
      <c r="F865" s="220">
        <v>0</v>
      </c>
      <c r="G865" s="220">
        <v>0</v>
      </c>
      <c r="H865" s="220">
        <v>6.514998</v>
      </c>
      <c r="I865" s="221">
        <v>252.14000000000001</v>
      </c>
      <c r="J865" s="220">
        <v>6.514998</v>
      </c>
      <c r="K865" s="221">
        <v>252.14000000000001</v>
      </c>
      <c r="L865" s="222">
        <v>0.0258388117712382</v>
      </c>
      <c r="M865" s="223">
        <v>314.574</v>
      </c>
      <c r="N865" s="224">
        <v>8.128218374125487</v>
      </c>
      <c r="O865" s="224">
        <v>1550.328706274292</v>
      </c>
      <c r="P865" s="225">
        <v>487.69310244752916</v>
      </c>
    </row>
    <row r="866" spans="1:16" ht="12.75" customHeight="1">
      <c r="A866" s="380"/>
      <c r="B866" s="67" t="s">
        <v>716</v>
      </c>
      <c r="C866" s="35">
        <v>55</v>
      </c>
      <c r="D866" s="35" t="s">
        <v>24</v>
      </c>
      <c r="E866" s="75">
        <v>75.14</v>
      </c>
      <c r="F866" s="75">
        <v>0.61</v>
      </c>
      <c r="G866" s="75">
        <v>8.8</v>
      </c>
      <c r="H866" s="75">
        <v>65.73</v>
      </c>
      <c r="I866" s="70">
        <v>2541</v>
      </c>
      <c r="J866" s="75">
        <v>65.73</v>
      </c>
      <c r="K866" s="70">
        <v>2541</v>
      </c>
      <c r="L866" s="64">
        <f>J866/K866</f>
        <v>0.025867768595041325</v>
      </c>
      <c r="M866" s="36">
        <v>234.2</v>
      </c>
      <c r="N866" s="65">
        <f>L866*M866</f>
        <v>6.058231404958678</v>
      </c>
      <c r="O866" s="65">
        <f>L866*60*1000</f>
        <v>1552.0661157024795</v>
      </c>
      <c r="P866" s="66">
        <f>O866*M866/1000</f>
        <v>363.49388429752065</v>
      </c>
    </row>
    <row r="867" spans="1:16" ht="12.75" customHeight="1">
      <c r="A867" s="380"/>
      <c r="B867" s="67" t="s">
        <v>258</v>
      </c>
      <c r="C867" s="35">
        <v>8</v>
      </c>
      <c r="D867" s="35" t="s">
        <v>24</v>
      </c>
      <c r="E867" s="75">
        <v>11.1</v>
      </c>
      <c r="F867" s="75">
        <f>8*0.051</f>
        <v>0.408</v>
      </c>
      <c r="G867" s="75">
        <v>1.2</v>
      </c>
      <c r="H867" s="75">
        <f>+E867-F867-G867</f>
        <v>9.492</v>
      </c>
      <c r="I867" s="263"/>
      <c r="J867" s="75">
        <f>+H867</f>
        <v>9.492</v>
      </c>
      <c r="K867" s="70">
        <v>365.77</v>
      </c>
      <c r="L867" s="64">
        <f>J867/K867</f>
        <v>0.025950734067856855</v>
      </c>
      <c r="M867" s="36">
        <v>343.2</v>
      </c>
      <c r="N867" s="65">
        <f>L867*M867</f>
        <v>8.906291932088472</v>
      </c>
      <c r="O867" s="65">
        <f>L867*60*1000</f>
        <v>1557.0440440714112</v>
      </c>
      <c r="P867" s="66">
        <f>O867*M867/1000</f>
        <v>534.3775159253083</v>
      </c>
    </row>
    <row r="868" spans="1:16" ht="12.75" customHeight="1">
      <c r="A868" s="380"/>
      <c r="B868" s="121" t="s">
        <v>617</v>
      </c>
      <c r="C868" s="35">
        <v>20</v>
      </c>
      <c r="D868" s="35">
        <v>1961</v>
      </c>
      <c r="E868" s="75">
        <v>25.265</v>
      </c>
      <c r="F868" s="75">
        <v>2.04</v>
      </c>
      <c r="G868" s="75">
        <v>0.2</v>
      </c>
      <c r="H868" s="75">
        <f>E868-F868-G868</f>
        <v>23.025000000000002</v>
      </c>
      <c r="I868" s="36">
        <v>886.96</v>
      </c>
      <c r="J868" s="75">
        <v>23.025</v>
      </c>
      <c r="K868" s="36">
        <v>886.96</v>
      </c>
      <c r="L868" s="64">
        <f>J868/K868</f>
        <v>0.025959457021737166</v>
      </c>
      <c r="M868" s="36">
        <v>302.3</v>
      </c>
      <c r="N868" s="65">
        <f>L868*M868</f>
        <v>7.847543857671146</v>
      </c>
      <c r="O868" s="65">
        <f>L868*60*1000</f>
        <v>1557.5674213042298</v>
      </c>
      <c r="P868" s="66">
        <f>O868*M868/1000</f>
        <v>470.8526314602687</v>
      </c>
    </row>
    <row r="869" spans="1:16" ht="12.75" customHeight="1">
      <c r="A869" s="380"/>
      <c r="B869" s="67" t="s">
        <v>401</v>
      </c>
      <c r="C869" s="35">
        <v>10</v>
      </c>
      <c r="D869" s="35">
        <v>1976</v>
      </c>
      <c r="E869" s="75">
        <v>11.5</v>
      </c>
      <c r="F869" s="75">
        <v>0.8</v>
      </c>
      <c r="G869" s="75">
        <v>0</v>
      </c>
      <c r="H869" s="75">
        <v>10.7</v>
      </c>
      <c r="I869" s="70">
        <v>411.49</v>
      </c>
      <c r="J869" s="75">
        <v>10.7</v>
      </c>
      <c r="K869" s="70">
        <v>411.5</v>
      </c>
      <c r="L869" s="64">
        <f>J869/K869</f>
        <v>0.02600243013365735</v>
      </c>
      <c r="M869" s="36">
        <v>224.1</v>
      </c>
      <c r="N869" s="65">
        <f>L869*M869</f>
        <v>5.827144592952612</v>
      </c>
      <c r="O869" s="65">
        <f>L869*60*1000</f>
        <v>1560.1458080194411</v>
      </c>
      <c r="P869" s="66">
        <f>O869*M869/1000</f>
        <v>349.62867557715674</v>
      </c>
    </row>
    <row r="870" spans="1:16" ht="12.75" customHeight="1">
      <c r="A870" s="380"/>
      <c r="B870" s="46" t="s">
        <v>149</v>
      </c>
      <c r="C870" s="25">
        <v>12</v>
      </c>
      <c r="D870" s="25">
        <v>1925</v>
      </c>
      <c r="E870" s="76">
        <f>SUM(F870:H870)</f>
        <v>13.32</v>
      </c>
      <c r="F870" s="76"/>
      <c r="G870" s="76"/>
      <c r="H870" s="76">
        <v>13.32</v>
      </c>
      <c r="I870" s="38">
        <v>512.15</v>
      </c>
      <c r="J870" s="76">
        <v>13.32</v>
      </c>
      <c r="K870" s="38">
        <v>512.15</v>
      </c>
      <c r="L870" s="47">
        <f>J870/K870</f>
        <v>0.026008005467148296</v>
      </c>
      <c r="M870" s="30">
        <v>285.3</v>
      </c>
      <c r="N870" s="30">
        <f>L870*M870*1.09</f>
        <v>8.087891516157377</v>
      </c>
      <c r="O870" s="30">
        <f>L870*60*1000</f>
        <v>1560.4803280288977</v>
      </c>
      <c r="P870" s="48">
        <v>485.2734909694426</v>
      </c>
    </row>
    <row r="871" spans="1:16" ht="12.75" customHeight="1">
      <c r="A871" s="380"/>
      <c r="B871" s="67" t="s">
        <v>284</v>
      </c>
      <c r="C871" s="35">
        <v>9</v>
      </c>
      <c r="D871" s="35">
        <v>1925</v>
      </c>
      <c r="E871" s="75">
        <v>10.787</v>
      </c>
      <c r="F871" s="75">
        <v>0.357</v>
      </c>
      <c r="G871" s="75">
        <v>1.6</v>
      </c>
      <c r="H871" s="75">
        <v>8.83</v>
      </c>
      <c r="I871" s="70">
        <v>392.63</v>
      </c>
      <c r="J871" s="75">
        <v>8.51</v>
      </c>
      <c r="K871" s="70">
        <v>326.76</v>
      </c>
      <c r="L871" s="64">
        <f>J871/K871</f>
        <v>0.0260435793854817</v>
      </c>
      <c r="M871" s="36">
        <v>338.118</v>
      </c>
      <c r="N871" s="65">
        <f>L871*M871</f>
        <v>8.8058029746603</v>
      </c>
      <c r="O871" s="65">
        <f>L871*60*1000</f>
        <v>1562.614763128902</v>
      </c>
      <c r="P871" s="66">
        <f>O871*M871/1000</f>
        <v>528.348178479618</v>
      </c>
    </row>
    <row r="872" spans="1:16" ht="12.75" customHeight="1">
      <c r="A872" s="380"/>
      <c r="B872" s="67" t="s">
        <v>288</v>
      </c>
      <c r="C872" s="35">
        <v>12</v>
      </c>
      <c r="D872" s="35">
        <v>1968</v>
      </c>
      <c r="E872" s="75">
        <v>12.118</v>
      </c>
      <c r="F872" s="75">
        <v>0.204</v>
      </c>
      <c r="G872" s="75">
        <v>0.08</v>
      </c>
      <c r="H872" s="75">
        <v>11.834</v>
      </c>
      <c r="I872" s="70">
        <v>490.3</v>
      </c>
      <c r="J872" s="75">
        <v>10.69</v>
      </c>
      <c r="K872" s="70">
        <v>410.4</v>
      </c>
      <c r="L872" s="64">
        <f>J872/K872</f>
        <v>0.02604775828460039</v>
      </c>
      <c r="M872" s="36">
        <v>338.118</v>
      </c>
      <c r="N872" s="65">
        <f>L872*M872</f>
        <v>8.807215935672515</v>
      </c>
      <c r="O872" s="65">
        <f>L872*60*1000</f>
        <v>1562.8654970760233</v>
      </c>
      <c r="P872" s="66">
        <f>O872*M872/1000</f>
        <v>528.4329561403508</v>
      </c>
    </row>
    <row r="873" spans="1:16" ht="12.75" customHeight="1">
      <c r="A873" s="380"/>
      <c r="B873" s="67" t="s">
        <v>815</v>
      </c>
      <c r="C873" s="35">
        <v>23</v>
      </c>
      <c r="D873" s="35" t="s">
        <v>24</v>
      </c>
      <c r="E873" s="75">
        <f>F873+G873+H873</f>
        <v>24.212</v>
      </c>
      <c r="F873" s="75">
        <v>0</v>
      </c>
      <c r="G873" s="75">
        <v>0</v>
      </c>
      <c r="H873" s="75">
        <v>24.212</v>
      </c>
      <c r="I873" s="70">
        <v>926.77</v>
      </c>
      <c r="J873" s="75">
        <v>24.212</v>
      </c>
      <c r="K873" s="70">
        <v>926.77</v>
      </c>
      <c r="L873" s="64">
        <f>J873/K873</f>
        <v>0.026125144318439313</v>
      </c>
      <c r="M873" s="35">
        <v>351.85</v>
      </c>
      <c r="N873" s="65">
        <f>L873*M873</f>
        <v>9.192132028442872</v>
      </c>
      <c r="O873" s="65">
        <f>L873*60*1000</f>
        <v>1567.5086591063587</v>
      </c>
      <c r="P873" s="66">
        <f>O873*M873/1000</f>
        <v>551.5279217065723</v>
      </c>
    </row>
    <row r="874" spans="1:16" ht="12.75" customHeight="1">
      <c r="A874" s="380"/>
      <c r="B874" s="67" t="s">
        <v>293</v>
      </c>
      <c r="C874" s="35">
        <v>4</v>
      </c>
      <c r="D874" s="35">
        <v>1914</v>
      </c>
      <c r="E874" s="75">
        <v>6.515</v>
      </c>
      <c r="F874" s="75">
        <v>0.561</v>
      </c>
      <c r="G874" s="75">
        <v>0.64</v>
      </c>
      <c r="H874" s="75">
        <v>5.314</v>
      </c>
      <c r="I874" s="70">
        <v>203.32</v>
      </c>
      <c r="J874" s="75">
        <v>3.95</v>
      </c>
      <c r="K874" s="70">
        <v>151.17</v>
      </c>
      <c r="L874" s="64">
        <f>J874/K874</f>
        <v>0.026129523053515912</v>
      </c>
      <c r="M874" s="36">
        <v>338.118</v>
      </c>
      <c r="N874" s="65">
        <f>L874*M874</f>
        <v>8.834862075808694</v>
      </c>
      <c r="O874" s="65">
        <f>L874*60*1000</f>
        <v>1567.7713832109548</v>
      </c>
      <c r="P874" s="66">
        <f>O874*M874/1000</f>
        <v>530.0917245485216</v>
      </c>
    </row>
    <row r="875" spans="1:16" ht="12.75" customHeight="1">
      <c r="A875" s="380"/>
      <c r="B875" s="67" t="s">
        <v>853</v>
      </c>
      <c r="C875" s="35">
        <v>9</v>
      </c>
      <c r="D875" s="35">
        <v>1977</v>
      </c>
      <c r="E875" s="75">
        <v>13.9</v>
      </c>
      <c r="F875" s="75">
        <v>0.424</v>
      </c>
      <c r="G875" s="75">
        <v>1.44</v>
      </c>
      <c r="H875" s="75">
        <v>12.035</v>
      </c>
      <c r="I875" s="120" t="s">
        <v>838</v>
      </c>
      <c r="J875" s="75">
        <v>12.035</v>
      </c>
      <c r="K875" s="70">
        <v>460.02</v>
      </c>
      <c r="L875" s="64">
        <f>J875/K875</f>
        <v>0.02616190600408678</v>
      </c>
      <c r="M875" s="36">
        <v>346.4</v>
      </c>
      <c r="N875" s="65">
        <f>L875*M875</f>
        <v>9.06248423981566</v>
      </c>
      <c r="O875" s="65">
        <f>L875*60*1000</f>
        <v>1569.7143602452068</v>
      </c>
      <c r="P875" s="66">
        <f>O875*M875/1000</f>
        <v>543.7490543889396</v>
      </c>
    </row>
    <row r="876" spans="1:16" ht="12.75" customHeight="1">
      <c r="A876" s="380"/>
      <c r="B876" s="67" t="s">
        <v>759</v>
      </c>
      <c r="C876" s="35">
        <v>8</v>
      </c>
      <c r="D876" s="35">
        <v>1960</v>
      </c>
      <c r="E876" s="75">
        <f>F876+G876+H876</f>
        <v>11.303</v>
      </c>
      <c r="F876" s="75">
        <v>0.43</v>
      </c>
      <c r="G876" s="75">
        <v>1.28</v>
      </c>
      <c r="H876" s="75">
        <v>9.593</v>
      </c>
      <c r="I876" s="70">
        <v>365.71</v>
      </c>
      <c r="J876" s="75">
        <f>H876</f>
        <v>9.593</v>
      </c>
      <c r="K876" s="70">
        <f>I876</f>
        <v>365.71</v>
      </c>
      <c r="L876" s="64">
        <f>J876/K876</f>
        <v>0.026231166771485605</v>
      </c>
      <c r="M876" s="36">
        <v>206.9</v>
      </c>
      <c r="N876" s="65">
        <f>L876*M876</f>
        <v>5.427228405020371</v>
      </c>
      <c r="O876" s="65">
        <f>L876*60*1000</f>
        <v>1573.8700062891362</v>
      </c>
      <c r="P876" s="66">
        <f>O876*M876/1000</f>
        <v>325.6337043012223</v>
      </c>
    </row>
    <row r="877" spans="1:16" ht="12.75" customHeight="1">
      <c r="A877" s="380"/>
      <c r="B877" s="67" t="s">
        <v>796</v>
      </c>
      <c r="C877" s="35">
        <v>8</v>
      </c>
      <c r="D877" s="35">
        <v>1970</v>
      </c>
      <c r="E877" s="75">
        <v>10.172</v>
      </c>
      <c r="F877" s="75">
        <v>0.168</v>
      </c>
      <c r="G877" s="75">
        <v>0.08</v>
      </c>
      <c r="H877" s="75">
        <v>9.924</v>
      </c>
      <c r="I877" s="70">
        <v>378.21</v>
      </c>
      <c r="J877" s="75">
        <v>9.924</v>
      </c>
      <c r="K877" s="70">
        <v>378.21</v>
      </c>
      <c r="L877" s="64">
        <f>J877/K877</f>
        <v>0.026239390814626794</v>
      </c>
      <c r="M877" s="36">
        <v>216.6</v>
      </c>
      <c r="N877" s="65">
        <f>L877*M877</f>
        <v>5.683452050448164</v>
      </c>
      <c r="O877" s="65">
        <f>L877*60*1000</f>
        <v>1574.3634488776077</v>
      </c>
      <c r="P877" s="66">
        <f>O877*M877/1000</f>
        <v>341.0071230268898</v>
      </c>
    </row>
    <row r="878" spans="1:16" ht="13.5" customHeight="1">
      <c r="A878" s="380"/>
      <c r="B878" s="321" t="s">
        <v>1033</v>
      </c>
      <c r="C878" s="312">
        <v>17</v>
      </c>
      <c r="D878" s="313" t="s">
        <v>24</v>
      </c>
      <c r="E878" s="314">
        <v>19.57</v>
      </c>
      <c r="F878" s="314">
        <v>2.08</v>
      </c>
      <c r="G878" s="315">
        <v>0.8</v>
      </c>
      <c r="H878" s="314">
        <v>16.69</v>
      </c>
      <c r="I878" s="316">
        <v>635.98</v>
      </c>
      <c r="J878" s="314">
        <v>16.69</v>
      </c>
      <c r="K878" s="317">
        <v>635.98</v>
      </c>
      <c r="L878" s="64">
        <f>J878/K878</f>
        <v>0.026242963615208028</v>
      </c>
      <c r="M878" s="36">
        <v>269.2</v>
      </c>
      <c r="N878" s="65">
        <f>L878*M878</f>
        <v>7.064605805214001</v>
      </c>
      <c r="O878" s="65">
        <f>L878*60*1000</f>
        <v>1574.5778169124817</v>
      </c>
      <c r="P878" s="66">
        <f>O878*M878/1000</f>
        <v>423.87634831284004</v>
      </c>
    </row>
    <row r="879" spans="1:16" ht="12.75" customHeight="1">
      <c r="A879" s="380"/>
      <c r="B879" s="67" t="s">
        <v>418</v>
      </c>
      <c r="C879" s="35">
        <v>14</v>
      </c>
      <c r="D879" s="35">
        <v>1959</v>
      </c>
      <c r="E879" s="75">
        <v>15.12445</v>
      </c>
      <c r="F879" s="75">
        <v>1.11445</v>
      </c>
      <c r="G879" s="75">
        <v>0</v>
      </c>
      <c r="H879" s="75">
        <f>E879-F879-G879</f>
        <v>14.01</v>
      </c>
      <c r="I879" s="70">
        <v>533.41</v>
      </c>
      <c r="J879" s="75">
        <f>H879</f>
        <v>14.01</v>
      </c>
      <c r="K879" s="70">
        <f>I879</f>
        <v>533.41</v>
      </c>
      <c r="L879" s="64">
        <f>J879/K879</f>
        <v>0.026264974409928574</v>
      </c>
      <c r="M879" s="36">
        <v>279.5</v>
      </c>
      <c r="N879" s="65">
        <f>L879*M879</f>
        <v>7.341060347575036</v>
      </c>
      <c r="O879" s="65">
        <f>L879*60*1000</f>
        <v>1575.8984645957144</v>
      </c>
      <c r="P879" s="66">
        <f>O879*M879/1000</f>
        <v>440.46362085450215</v>
      </c>
    </row>
    <row r="880" spans="1:16" ht="12.75" customHeight="1">
      <c r="A880" s="380"/>
      <c r="B880" s="321" t="s">
        <v>1034</v>
      </c>
      <c r="C880" s="312">
        <v>12</v>
      </c>
      <c r="D880" s="313" t="s">
        <v>24</v>
      </c>
      <c r="E880" s="314">
        <v>30.77</v>
      </c>
      <c r="F880" s="314">
        <v>0.87</v>
      </c>
      <c r="G880" s="315">
        <v>2.27</v>
      </c>
      <c r="H880" s="314">
        <v>27.63</v>
      </c>
      <c r="I880" s="317">
        <v>666.55</v>
      </c>
      <c r="J880" s="314">
        <v>17.54</v>
      </c>
      <c r="K880" s="317">
        <v>666.55</v>
      </c>
      <c r="L880" s="64">
        <f>J880/K880</f>
        <v>0.02631460505588478</v>
      </c>
      <c r="M880" s="36">
        <v>269.2</v>
      </c>
      <c r="N880" s="65">
        <f>L880*M880</f>
        <v>7.083891681044182</v>
      </c>
      <c r="O880" s="65">
        <f>L880*60*1000</f>
        <v>1578.8763033530868</v>
      </c>
      <c r="P880" s="66">
        <f>O880*M880/1000</f>
        <v>425.0335008626509</v>
      </c>
    </row>
    <row r="881" spans="1:16" ht="12.75" customHeight="1">
      <c r="A881" s="380"/>
      <c r="B881" s="121" t="s">
        <v>422</v>
      </c>
      <c r="C881" s="35">
        <v>36</v>
      </c>
      <c r="D881" s="35">
        <v>1959</v>
      </c>
      <c r="E881" s="75">
        <v>40.65</v>
      </c>
      <c r="F881" s="75">
        <v>2.601</v>
      </c>
      <c r="G881" s="75">
        <v>2.29</v>
      </c>
      <c r="H881" s="75">
        <f>E881-F881-G881</f>
        <v>35.759</v>
      </c>
      <c r="I881" s="36">
        <v>1558.74</v>
      </c>
      <c r="J881" s="75">
        <v>34.133</v>
      </c>
      <c r="K881" s="36">
        <v>1296.95</v>
      </c>
      <c r="L881" s="64">
        <f>J881/K881</f>
        <v>0.026317899687728904</v>
      </c>
      <c r="M881" s="36">
        <v>302.3</v>
      </c>
      <c r="N881" s="65">
        <f>L881*M881</f>
        <v>7.955901075600448</v>
      </c>
      <c r="O881" s="65">
        <f>L881*60*1000</f>
        <v>1579.0739812637341</v>
      </c>
      <c r="P881" s="66">
        <f>O881*M881/1000</f>
        <v>477.35406453602684</v>
      </c>
    </row>
    <row r="882" spans="1:16" ht="12.75" customHeight="1">
      <c r="A882" s="380"/>
      <c r="B882" s="67" t="s">
        <v>954</v>
      </c>
      <c r="C882" s="35">
        <v>12</v>
      </c>
      <c r="D882" s="35">
        <v>1972</v>
      </c>
      <c r="E882" s="75">
        <v>14.054</v>
      </c>
      <c r="F882" s="75"/>
      <c r="G882" s="75"/>
      <c r="H882" s="75">
        <v>14.054</v>
      </c>
      <c r="I882" s="70">
        <v>533.64</v>
      </c>
      <c r="J882" s="75">
        <v>14.054</v>
      </c>
      <c r="K882" s="70">
        <v>533.64</v>
      </c>
      <c r="L882" s="64">
        <f>J882/K882</f>
        <v>0.02633610673862529</v>
      </c>
      <c r="M882" s="36">
        <v>201.868</v>
      </c>
      <c r="N882" s="65">
        <f>L882*M882</f>
        <v>5.31641719511281</v>
      </c>
      <c r="O882" s="65">
        <f>L882*60*1000</f>
        <v>1580.1664043175174</v>
      </c>
      <c r="P882" s="66">
        <f>O882*M882/1000</f>
        <v>318.9850317067686</v>
      </c>
    </row>
    <row r="883" spans="1:16" ht="12.75" customHeight="1">
      <c r="A883" s="380"/>
      <c r="B883" s="67" t="s">
        <v>912</v>
      </c>
      <c r="C883" s="35">
        <v>8</v>
      </c>
      <c r="D883" s="35" t="s">
        <v>892</v>
      </c>
      <c r="E883" s="75">
        <v>9.981</v>
      </c>
      <c r="F883" s="75">
        <v>0</v>
      </c>
      <c r="G883" s="75">
        <v>0</v>
      </c>
      <c r="H883" s="75">
        <v>9.981</v>
      </c>
      <c r="I883" s="263"/>
      <c r="J883" s="75">
        <v>9.981</v>
      </c>
      <c r="K883" s="70">
        <v>378.95</v>
      </c>
      <c r="L883" s="64">
        <f>J883/K883</f>
        <v>0.026338567093284075</v>
      </c>
      <c r="M883" s="36">
        <v>276.97</v>
      </c>
      <c r="N883" s="65">
        <f>L883*M883</f>
        <v>7.294992927826891</v>
      </c>
      <c r="O883" s="65">
        <f>L883*60*1000</f>
        <v>1580.3140255970445</v>
      </c>
      <c r="P883" s="66">
        <f>O883*M883/1000</f>
        <v>437.69957566961347</v>
      </c>
    </row>
    <row r="884" spans="1:16" ht="12.75" customHeight="1">
      <c r="A884" s="380"/>
      <c r="B884" s="121" t="s">
        <v>618</v>
      </c>
      <c r="C884" s="35">
        <v>6</v>
      </c>
      <c r="D884" s="35">
        <v>1935</v>
      </c>
      <c r="E884" s="75">
        <v>6.227</v>
      </c>
      <c r="F884" s="75">
        <v>0.306</v>
      </c>
      <c r="G884" s="75">
        <v>0.64</v>
      </c>
      <c r="H884" s="75">
        <f>E884-F884-G884</f>
        <v>5.281000000000001</v>
      </c>
      <c r="I884" s="36">
        <v>200.18</v>
      </c>
      <c r="J884" s="75">
        <v>5.281</v>
      </c>
      <c r="K884" s="36">
        <v>200.18</v>
      </c>
      <c r="L884" s="64">
        <f>J884/K884</f>
        <v>0.02638125686881806</v>
      </c>
      <c r="M884" s="36">
        <v>302.3</v>
      </c>
      <c r="N884" s="65">
        <f>L884*M884</f>
        <v>7.975053951443701</v>
      </c>
      <c r="O884" s="65">
        <f>L884*60*1000</f>
        <v>1582.8754121290838</v>
      </c>
      <c r="P884" s="66">
        <f>O884*M884/1000</f>
        <v>478.50323708662205</v>
      </c>
    </row>
    <row r="885" spans="1:16" ht="12.75" customHeight="1">
      <c r="A885" s="380"/>
      <c r="B885" s="67" t="s">
        <v>287</v>
      </c>
      <c r="C885" s="35">
        <v>4</v>
      </c>
      <c r="D885" s="35">
        <v>1947</v>
      </c>
      <c r="E885" s="75">
        <v>8.014</v>
      </c>
      <c r="F885" s="75">
        <v>0.51</v>
      </c>
      <c r="G885" s="75">
        <v>0.72</v>
      </c>
      <c r="H885" s="75">
        <v>6.784</v>
      </c>
      <c r="I885" s="70">
        <v>256.84</v>
      </c>
      <c r="J885" s="75">
        <v>5.92</v>
      </c>
      <c r="K885" s="70">
        <v>224.01</v>
      </c>
      <c r="L885" s="64">
        <f>J885/K885</f>
        <v>0.02642739163430204</v>
      </c>
      <c r="M885" s="36">
        <v>338.118</v>
      </c>
      <c r="N885" s="65">
        <f>L885*M885</f>
        <v>8.935576804606937</v>
      </c>
      <c r="O885" s="65">
        <f>L885*60*1000</f>
        <v>1585.6434980581225</v>
      </c>
      <c r="P885" s="66">
        <f>O885*M885/1000</f>
        <v>536.1346082764163</v>
      </c>
    </row>
    <row r="886" spans="1:16" ht="12.75" customHeight="1">
      <c r="A886" s="380"/>
      <c r="B886" s="67" t="s">
        <v>261</v>
      </c>
      <c r="C886" s="35">
        <v>16</v>
      </c>
      <c r="D886" s="35" t="s">
        <v>24</v>
      </c>
      <c r="E886" s="75">
        <v>15</v>
      </c>
      <c r="F886" s="75">
        <f>27.75*0.051</f>
        <v>1.41525</v>
      </c>
      <c r="G886" s="75">
        <f>16*0.01</f>
        <v>0.16</v>
      </c>
      <c r="H886" s="75">
        <f>+E886-F886-G886</f>
        <v>13.42475</v>
      </c>
      <c r="I886" s="233"/>
      <c r="J886" s="75">
        <f>+H886</f>
        <v>13.42475</v>
      </c>
      <c r="K886" s="70">
        <v>507.62</v>
      </c>
      <c r="L886" s="64">
        <f>J886/K886</f>
        <v>0.026446456010401482</v>
      </c>
      <c r="M886" s="36">
        <v>343.2</v>
      </c>
      <c r="N886" s="65">
        <f>L886*M886</f>
        <v>9.07642370276979</v>
      </c>
      <c r="O886" s="65">
        <f>L886*60*1000</f>
        <v>1586.787360624089</v>
      </c>
      <c r="P886" s="66">
        <f>O886*M886/1000</f>
        <v>544.5854221661873</v>
      </c>
    </row>
    <row r="887" spans="1:16" ht="13.5" customHeight="1">
      <c r="A887" s="380"/>
      <c r="B887" s="46" t="s">
        <v>398</v>
      </c>
      <c r="C887" s="25">
        <v>6</v>
      </c>
      <c r="D887" s="25" t="s">
        <v>376</v>
      </c>
      <c r="E887" s="76">
        <f>SUM(F887+G887+H887)</f>
        <v>8.3</v>
      </c>
      <c r="F887" s="76">
        <v>0.7</v>
      </c>
      <c r="G887" s="76">
        <v>0.9</v>
      </c>
      <c r="H887" s="76">
        <v>6.7</v>
      </c>
      <c r="I887" s="38">
        <v>252.5</v>
      </c>
      <c r="J887" s="76">
        <v>6.7</v>
      </c>
      <c r="K887" s="38">
        <v>252.5</v>
      </c>
      <c r="L887" s="47">
        <f>SUM(J887/K887)</f>
        <v>0.026534653465346534</v>
      </c>
      <c r="M887" s="30">
        <v>215.8</v>
      </c>
      <c r="N887" s="30">
        <f>SUM(L887*M887)</f>
        <v>5.726178217821782</v>
      </c>
      <c r="O887" s="30">
        <f>L887*60*1000</f>
        <v>1592.079207920792</v>
      </c>
      <c r="P887" s="48">
        <f>SUM(N887*60)</f>
        <v>343.5706930693069</v>
      </c>
    </row>
    <row r="888" spans="1:16" ht="12.75" customHeight="1">
      <c r="A888" s="380"/>
      <c r="B888" s="67" t="s">
        <v>590</v>
      </c>
      <c r="C888" s="35">
        <v>78</v>
      </c>
      <c r="D888" s="35">
        <v>1976</v>
      </c>
      <c r="E888" s="75">
        <v>40.72264</v>
      </c>
      <c r="F888" s="75">
        <v>4.43886</v>
      </c>
      <c r="G888" s="75">
        <v>0.77</v>
      </c>
      <c r="H888" s="75">
        <f>E888-F888-G888</f>
        <v>35.51378</v>
      </c>
      <c r="I888" s="70">
        <v>1336.01</v>
      </c>
      <c r="J888" s="75">
        <f>H888</f>
        <v>35.51378</v>
      </c>
      <c r="K888" s="70">
        <f>I888</f>
        <v>1336.01</v>
      </c>
      <c r="L888" s="64">
        <f>J888/K888</f>
        <v>0.026581971691828653</v>
      </c>
      <c r="M888" s="36">
        <v>279.5</v>
      </c>
      <c r="N888" s="65">
        <f>L888*M888</f>
        <v>7.4296610878661085</v>
      </c>
      <c r="O888" s="65">
        <f>L888*60*1000</f>
        <v>1594.9183015097192</v>
      </c>
      <c r="P888" s="66">
        <f>O888*M888/1000</f>
        <v>445.7796652719665</v>
      </c>
    </row>
    <row r="889" spans="1:16" ht="12.75" customHeight="1">
      <c r="A889" s="380"/>
      <c r="B889" s="67" t="s">
        <v>296</v>
      </c>
      <c r="C889" s="35">
        <v>2</v>
      </c>
      <c r="D889" s="35">
        <v>1935</v>
      </c>
      <c r="E889" s="75">
        <v>4.496</v>
      </c>
      <c r="F889" s="75">
        <v>0</v>
      </c>
      <c r="G889" s="75">
        <v>0</v>
      </c>
      <c r="H889" s="75">
        <v>4.496</v>
      </c>
      <c r="I889" s="70">
        <v>168.86</v>
      </c>
      <c r="J889" s="75">
        <v>2.19</v>
      </c>
      <c r="K889" s="70">
        <v>82.33</v>
      </c>
      <c r="L889" s="64">
        <f>J889/K889</f>
        <v>0.026600267217296247</v>
      </c>
      <c r="M889" s="36">
        <v>338.118</v>
      </c>
      <c r="N889" s="65">
        <f>L889*M889</f>
        <v>8.994029150977772</v>
      </c>
      <c r="O889" s="65">
        <f>L889*60*1000</f>
        <v>1596.0160330377748</v>
      </c>
      <c r="P889" s="66">
        <f>O889*M889/1000</f>
        <v>539.6417490586663</v>
      </c>
    </row>
    <row r="890" spans="1:16" ht="12.75" customHeight="1">
      <c r="A890" s="380"/>
      <c r="B890" s="67" t="s">
        <v>591</v>
      </c>
      <c r="C890" s="35">
        <v>28</v>
      </c>
      <c r="D890" s="35">
        <v>1961</v>
      </c>
      <c r="E890" s="75">
        <v>32.13849</v>
      </c>
      <c r="F890" s="75">
        <v>3.75849</v>
      </c>
      <c r="G890" s="75">
        <v>0.28</v>
      </c>
      <c r="H890" s="75">
        <f>E890-F890-G890</f>
        <v>28.099999999999994</v>
      </c>
      <c r="I890" s="70">
        <v>1052.91</v>
      </c>
      <c r="J890" s="75">
        <f>H890</f>
        <v>28.099999999999994</v>
      </c>
      <c r="K890" s="70">
        <f>I890</f>
        <v>1052.91</v>
      </c>
      <c r="L890" s="64">
        <f>J890/K890</f>
        <v>0.026687941039595018</v>
      </c>
      <c r="M890" s="36">
        <v>279.5</v>
      </c>
      <c r="N890" s="65">
        <f>L890*M890</f>
        <v>7.459279520566808</v>
      </c>
      <c r="O890" s="65">
        <f>L890*60*1000</f>
        <v>1601.276462375701</v>
      </c>
      <c r="P890" s="66">
        <f>O890*M890/1000</f>
        <v>447.5567712340084</v>
      </c>
    </row>
    <row r="891" spans="1:16" ht="12.75" customHeight="1">
      <c r="A891" s="380"/>
      <c r="B891" s="321" t="s">
        <v>1035</v>
      </c>
      <c r="C891" s="312">
        <v>8</v>
      </c>
      <c r="D891" s="313" t="s">
        <v>24</v>
      </c>
      <c r="E891" s="314">
        <v>9.99</v>
      </c>
      <c r="F891" s="314">
        <v>0.54</v>
      </c>
      <c r="G891" s="315">
        <v>0.07</v>
      </c>
      <c r="H891" s="314">
        <v>9.38</v>
      </c>
      <c r="I891" s="316">
        <v>351.41</v>
      </c>
      <c r="J891" s="314">
        <v>9.38</v>
      </c>
      <c r="K891" s="317">
        <v>351.41</v>
      </c>
      <c r="L891" s="64">
        <f>J891/K891</f>
        <v>0.026692467488119292</v>
      </c>
      <c r="M891" s="36">
        <v>269.2</v>
      </c>
      <c r="N891" s="65">
        <f>L891*M891</f>
        <v>7.185612247801713</v>
      </c>
      <c r="O891" s="65">
        <f>L891*60*1000</f>
        <v>1601.5480492871577</v>
      </c>
      <c r="P891" s="66">
        <f>O891*M891/1000</f>
        <v>431.13673486810285</v>
      </c>
    </row>
    <row r="892" spans="1:16" ht="12.75" customHeight="1">
      <c r="A892" s="380"/>
      <c r="B892" s="67" t="s">
        <v>291</v>
      </c>
      <c r="C892" s="35">
        <v>6</v>
      </c>
      <c r="D892" s="35">
        <v>1910</v>
      </c>
      <c r="E892" s="75">
        <v>9.288</v>
      </c>
      <c r="F892" s="75">
        <v>0.204</v>
      </c>
      <c r="G892" s="75">
        <v>0.96</v>
      </c>
      <c r="H892" s="75">
        <v>8.124</v>
      </c>
      <c r="I892" s="70">
        <v>303.9</v>
      </c>
      <c r="J892" s="75">
        <v>8.124</v>
      </c>
      <c r="K892" s="70">
        <v>303.9</v>
      </c>
      <c r="L892" s="64">
        <f>J892/K892</f>
        <v>0.026732477788746302</v>
      </c>
      <c r="M892" s="36">
        <v>338.118</v>
      </c>
      <c r="N892" s="65">
        <f>L892*M892</f>
        <v>9.038731924975322</v>
      </c>
      <c r="O892" s="65">
        <f>L892*60*1000</f>
        <v>1603.948667324778</v>
      </c>
      <c r="P892" s="66">
        <f>O892*M892/1000</f>
        <v>542.3239154985193</v>
      </c>
    </row>
    <row r="893" spans="1:16" ht="12.75" customHeight="1">
      <c r="A893" s="380"/>
      <c r="B893" s="67" t="s">
        <v>324</v>
      </c>
      <c r="C893" s="35">
        <v>14</v>
      </c>
      <c r="D893" s="35">
        <v>1969</v>
      </c>
      <c r="E893" s="75">
        <f>F893+G893+H893</f>
        <v>14.81</v>
      </c>
      <c r="F893" s="75">
        <v>1.07</v>
      </c>
      <c r="G893" s="75">
        <v>0.35</v>
      </c>
      <c r="H893" s="75">
        <v>13.39</v>
      </c>
      <c r="I893" s="70">
        <v>500.78</v>
      </c>
      <c r="J893" s="75">
        <v>13.39</v>
      </c>
      <c r="K893" s="70">
        <v>500.78</v>
      </c>
      <c r="L893" s="64">
        <f>J893/K893</f>
        <v>0.026738288270298338</v>
      </c>
      <c r="M893" s="36">
        <v>314.4</v>
      </c>
      <c r="N893" s="65">
        <f>L893*M893</f>
        <v>8.406517832181796</v>
      </c>
      <c r="O893" s="65">
        <f>L893*60*1000</f>
        <v>1604.2972962179003</v>
      </c>
      <c r="P893" s="66">
        <f>O893*M893/1000</f>
        <v>504.3910699309078</v>
      </c>
    </row>
    <row r="894" spans="1:16" ht="12.75" customHeight="1">
      <c r="A894" s="380"/>
      <c r="B894" s="46" t="s">
        <v>392</v>
      </c>
      <c r="C894" s="25">
        <v>12</v>
      </c>
      <c r="D894" s="25">
        <v>1962</v>
      </c>
      <c r="E894" s="76">
        <f>SUM(F894+G894+H894)</f>
        <v>16.7</v>
      </c>
      <c r="F894" s="76">
        <v>0.5</v>
      </c>
      <c r="G894" s="76">
        <v>1.8</v>
      </c>
      <c r="H894" s="76">
        <v>14.4</v>
      </c>
      <c r="I894" s="38">
        <v>538</v>
      </c>
      <c r="J894" s="76">
        <v>12.1</v>
      </c>
      <c r="K894" s="38">
        <v>451.7</v>
      </c>
      <c r="L894" s="47">
        <f>SUM(J894/K894)</f>
        <v>0.026787690945317688</v>
      </c>
      <c r="M894" s="30">
        <v>215.8</v>
      </c>
      <c r="N894" s="30">
        <f>SUM(L894*M894)</f>
        <v>5.780783705999557</v>
      </c>
      <c r="O894" s="30">
        <f>L894*60*1000</f>
        <v>1607.2614567190612</v>
      </c>
      <c r="P894" s="48">
        <f>SUM(N894*60)</f>
        <v>346.84702235997344</v>
      </c>
    </row>
    <row r="895" spans="1:16" ht="12.75" customHeight="1">
      <c r="A895" s="380"/>
      <c r="B895" s="109" t="s">
        <v>619</v>
      </c>
      <c r="C895" s="35">
        <v>80</v>
      </c>
      <c r="D895" s="35">
        <v>1961</v>
      </c>
      <c r="E895" s="75">
        <v>41.623</v>
      </c>
      <c r="F895" s="75">
        <v>4.743</v>
      </c>
      <c r="G895" s="75">
        <v>0.8</v>
      </c>
      <c r="H895" s="75">
        <f>E895-F895-G895</f>
        <v>36.08</v>
      </c>
      <c r="I895" s="36">
        <v>1344.76</v>
      </c>
      <c r="J895" s="75">
        <v>36.08</v>
      </c>
      <c r="K895" s="36">
        <v>1344.76</v>
      </c>
      <c r="L895" s="64">
        <f>J895/K895</f>
        <v>0.026830066331538713</v>
      </c>
      <c r="M895" s="36">
        <v>302.3</v>
      </c>
      <c r="N895" s="65">
        <f>L895*M895</f>
        <v>8.110729052024153</v>
      </c>
      <c r="O895" s="65">
        <f>L895*60*1000</f>
        <v>1609.8039798923228</v>
      </c>
      <c r="P895" s="66">
        <f>O895*M895/1000</f>
        <v>486.6437431214492</v>
      </c>
    </row>
    <row r="896" spans="1:16" ht="12.75" customHeight="1">
      <c r="A896" s="380"/>
      <c r="B896" s="256" t="s">
        <v>932</v>
      </c>
      <c r="C896" s="35">
        <v>15</v>
      </c>
      <c r="D896" s="35">
        <v>1982</v>
      </c>
      <c r="E896" s="251">
        <f>F896+G896+H896</f>
        <v>23.82</v>
      </c>
      <c r="F896" s="251">
        <v>2.08</v>
      </c>
      <c r="G896" s="251">
        <v>2.4</v>
      </c>
      <c r="H896" s="251">
        <v>19.34</v>
      </c>
      <c r="I896" s="252">
        <v>886.91</v>
      </c>
      <c r="J896" s="251">
        <f>E896</f>
        <v>23.82</v>
      </c>
      <c r="K896" s="252">
        <v>886.91</v>
      </c>
      <c r="L896" s="253">
        <f>J896/K896</f>
        <v>0.026857291044187125</v>
      </c>
      <c r="M896" s="258">
        <v>244.38</v>
      </c>
      <c r="N896" s="254">
        <f>L896*M896</f>
        <v>6.5633847853784495</v>
      </c>
      <c r="O896" s="254">
        <f>L896*60*1000</f>
        <v>1611.4374626512276</v>
      </c>
      <c r="P896" s="255">
        <f>O896*M896/1000</f>
        <v>393.803087122707</v>
      </c>
    </row>
    <row r="897" spans="1:16" ht="13.5" customHeight="1">
      <c r="A897" s="380"/>
      <c r="B897" s="67" t="s">
        <v>854</v>
      </c>
      <c r="C897" s="35">
        <v>12</v>
      </c>
      <c r="D897" s="35">
        <v>1961</v>
      </c>
      <c r="E897" s="75">
        <v>17.694</v>
      </c>
      <c r="F897" s="75">
        <v>1.019</v>
      </c>
      <c r="G897" s="75">
        <v>1.77</v>
      </c>
      <c r="H897" s="75">
        <v>14.904</v>
      </c>
      <c r="I897" s="118" t="s">
        <v>838</v>
      </c>
      <c r="J897" s="75">
        <v>14.904</v>
      </c>
      <c r="K897" s="70">
        <v>554.42</v>
      </c>
      <c r="L897" s="64">
        <f>J897/K897</f>
        <v>0.026882147108690163</v>
      </c>
      <c r="M897" s="36">
        <v>346.4</v>
      </c>
      <c r="N897" s="65">
        <f>L897*M897</f>
        <v>9.311975758450272</v>
      </c>
      <c r="O897" s="65">
        <f>L897*60*1000</f>
        <v>1612.9288265214097</v>
      </c>
      <c r="P897" s="66">
        <f>O897*M897/1000</f>
        <v>558.7185455070162</v>
      </c>
    </row>
    <row r="898" spans="1:16" ht="12.75" customHeight="1">
      <c r="A898" s="380"/>
      <c r="B898" s="67" t="s">
        <v>855</v>
      </c>
      <c r="C898" s="35">
        <v>6</v>
      </c>
      <c r="D898" s="35">
        <v>1986</v>
      </c>
      <c r="E898" s="75">
        <v>11.52</v>
      </c>
      <c r="F898" s="75">
        <v>0.453</v>
      </c>
      <c r="G898" s="75">
        <v>0.88</v>
      </c>
      <c r="H898" s="75">
        <v>10.187</v>
      </c>
      <c r="I898" s="118" t="s">
        <v>838</v>
      </c>
      <c r="J898" s="75">
        <v>10.187</v>
      </c>
      <c r="K898" s="70">
        <v>378.43</v>
      </c>
      <c r="L898" s="64">
        <f>J898/K898</f>
        <v>0.026919113178130696</v>
      </c>
      <c r="M898" s="36">
        <v>346.4</v>
      </c>
      <c r="N898" s="65">
        <f>L898*M898</f>
        <v>9.324780804904472</v>
      </c>
      <c r="O898" s="65">
        <f>L898*60*1000</f>
        <v>1615.1467906878418</v>
      </c>
      <c r="P898" s="66">
        <f>O898*M898/1000</f>
        <v>559.4868482942684</v>
      </c>
    </row>
    <row r="899" spans="1:16" ht="12.75" customHeight="1">
      <c r="A899" s="380"/>
      <c r="B899" s="67" t="s">
        <v>760</v>
      </c>
      <c r="C899" s="35">
        <v>25</v>
      </c>
      <c r="D899" s="35">
        <v>1966</v>
      </c>
      <c r="E899" s="75">
        <f>F899+G899+H899</f>
        <v>35.812</v>
      </c>
      <c r="F899" s="75">
        <v>1.4</v>
      </c>
      <c r="G899" s="75">
        <v>0.29</v>
      </c>
      <c r="H899" s="75">
        <v>34.122</v>
      </c>
      <c r="I899" s="70">
        <v>1267.43</v>
      </c>
      <c r="J899" s="75">
        <f>H899</f>
        <v>34.122</v>
      </c>
      <c r="K899" s="70">
        <f>I899</f>
        <v>1267.43</v>
      </c>
      <c r="L899" s="64">
        <f>J899/K899</f>
        <v>0.026922196886613067</v>
      </c>
      <c r="M899" s="36">
        <v>206.9</v>
      </c>
      <c r="N899" s="65">
        <f>L899*M899</f>
        <v>5.570202535840243</v>
      </c>
      <c r="O899" s="65">
        <f>L899*60*1000</f>
        <v>1615.331813196784</v>
      </c>
      <c r="P899" s="66">
        <f>O899*M899/1000</f>
        <v>334.21215215041457</v>
      </c>
    </row>
    <row r="900" spans="1:16" ht="12.75" customHeight="1">
      <c r="A900" s="380"/>
      <c r="B900" s="67" t="s">
        <v>913</v>
      </c>
      <c r="C900" s="35">
        <v>8</v>
      </c>
      <c r="D900" s="35" t="s">
        <v>892</v>
      </c>
      <c r="E900" s="75">
        <v>10.535</v>
      </c>
      <c r="F900" s="75">
        <v>0</v>
      </c>
      <c r="G900" s="75">
        <v>0.03</v>
      </c>
      <c r="H900" s="75">
        <v>10.505</v>
      </c>
      <c r="I900" s="233"/>
      <c r="J900" s="75">
        <v>10.505</v>
      </c>
      <c r="K900" s="70">
        <v>389.52</v>
      </c>
      <c r="L900" s="64">
        <f>J900/K900</f>
        <v>0.026969090162250978</v>
      </c>
      <c r="M900" s="36">
        <v>276.97</v>
      </c>
      <c r="N900" s="65">
        <f>L900*M900</f>
        <v>7.469628902238654</v>
      </c>
      <c r="O900" s="65">
        <f>L900*60*1000</f>
        <v>1618.1454097350588</v>
      </c>
      <c r="P900" s="66">
        <f>O900*M900/1000</f>
        <v>448.1777341343193</v>
      </c>
    </row>
    <row r="901" spans="1:16" ht="12.75" customHeight="1">
      <c r="A901" s="380"/>
      <c r="B901" s="248" t="s">
        <v>933</v>
      </c>
      <c r="C901" s="249">
        <v>15</v>
      </c>
      <c r="D901" s="250"/>
      <c r="E901" s="251">
        <f>F901+G901+H901</f>
        <v>21.3</v>
      </c>
      <c r="F901" s="251">
        <v>1.1</v>
      </c>
      <c r="G901" s="251">
        <v>2.4</v>
      </c>
      <c r="H901" s="251">
        <v>17.8</v>
      </c>
      <c r="I901" s="252">
        <v>787.02</v>
      </c>
      <c r="J901" s="251">
        <f>E901</f>
        <v>21.3</v>
      </c>
      <c r="K901" s="252">
        <v>787.02</v>
      </c>
      <c r="L901" s="253">
        <f>J901/K901</f>
        <v>0.02706411527025997</v>
      </c>
      <c r="M901" s="258">
        <v>244.38</v>
      </c>
      <c r="N901" s="254">
        <f>L901*M901</f>
        <v>6.613928489746131</v>
      </c>
      <c r="O901" s="254">
        <f>L901*60*1000</f>
        <v>1623.8469162155982</v>
      </c>
      <c r="P901" s="255">
        <f>O901*M901/1000</f>
        <v>396.8357093847679</v>
      </c>
    </row>
    <row r="902" spans="1:16" ht="12.75" customHeight="1">
      <c r="A902" s="380"/>
      <c r="B902" s="67" t="s">
        <v>955</v>
      </c>
      <c r="C902" s="35">
        <v>8</v>
      </c>
      <c r="D902" s="35">
        <v>1977</v>
      </c>
      <c r="E902" s="75">
        <v>13.444</v>
      </c>
      <c r="F902" s="75">
        <v>0.946</v>
      </c>
      <c r="G902" s="75">
        <v>1.28</v>
      </c>
      <c r="H902" s="75">
        <v>11.218</v>
      </c>
      <c r="I902" s="70">
        <v>414.2</v>
      </c>
      <c r="J902" s="75">
        <v>11.218</v>
      </c>
      <c r="K902" s="70">
        <v>414.2</v>
      </c>
      <c r="L902" s="64">
        <f>J902/K902</f>
        <v>0.027083534524384355</v>
      </c>
      <c r="M902" s="36">
        <v>201.868</v>
      </c>
      <c r="N902" s="65">
        <f>L902*M902</f>
        <v>5.467298947368421</v>
      </c>
      <c r="O902" s="65">
        <f>L902*60*1000</f>
        <v>1625.0120714630614</v>
      </c>
      <c r="P902" s="66">
        <f>O902*M902/1000</f>
        <v>328.0379368421053</v>
      </c>
    </row>
    <row r="903" spans="1:16" ht="12.75" customHeight="1">
      <c r="A903" s="380"/>
      <c r="B903" s="67" t="s">
        <v>955</v>
      </c>
      <c r="C903" s="35">
        <v>8</v>
      </c>
      <c r="D903" s="35">
        <v>1970</v>
      </c>
      <c r="E903" s="75">
        <v>13.444</v>
      </c>
      <c r="F903" s="75">
        <v>0.946</v>
      </c>
      <c r="G903" s="75">
        <v>1.28</v>
      </c>
      <c r="H903" s="75">
        <v>11.218</v>
      </c>
      <c r="I903" s="70">
        <v>414.2</v>
      </c>
      <c r="J903" s="75">
        <v>11.218</v>
      </c>
      <c r="K903" s="70">
        <v>414.2</v>
      </c>
      <c r="L903" s="64">
        <f>J903/K903</f>
        <v>0.027083534524384355</v>
      </c>
      <c r="M903" s="36">
        <v>201.868</v>
      </c>
      <c r="N903" s="65">
        <f>L903*M903</f>
        <v>5.467298947368421</v>
      </c>
      <c r="O903" s="65">
        <f>L903*60*1000</f>
        <v>1625.0120714630614</v>
      </c>
      <c r="P903" s="66">
        <f>O903*M903/1000</f>
        <v>328.0379368421053</v>
      </c>
    </row>
    <row r="904" spans="1:16" ht="12.75" customHeight="1">
      <c r="A904" s="380"/>
      <c r="B904" s="67" t="s">
        <v>548</v>
      </c>
      <c r="C904" s="35">
        <v>11</v>
      </c>
      <c r="D904" s="35">
        <v>1983</v>
      </c>
      <c r="E904" s="75">
        <v>16.7</v>
      </c>
      <c r="F904" s="75">
        <v>0.7</v>
      </c>
      <c r="G904" s="75">
        <v>1.9</v>
      </c>
      <c r="H904" s="75">
        <v>14.1</v>
      </c>
      <c r="I904" s="70">
        <v>520</v>
      </c>
      <c r="J904" s="75">
        <v>14.1</v>
      </c>
      <c r="K904" s="70">
        <v>520</v>
      </c>
      <c r="L904" s="64">
        <f>J904/K904</f>
        <v>0.027115384615384614</v>
      </c>
      <c r="M904" s="36">
        <v>250.6</v>
      </c>
      <c r="N904" s="65">
        <f>L904*M904</f>
        <v>6.795115384615384</v>
      </c>
      <c r="O904" s="65">
        <f>L904*60*1000</f>
        <v>1626.923076923077</v>
      </c>
      <c r="P904" s="66">
        <f>O904*M904/1000</f>
        <v>407.7069230769231</v>
      </c>
    </row>
    <row r="905" spans="1:16" ht="12.75" customHeight="1">
      <c r="A905" s="380"/>
      <c r="B905" s="67" t="s">
        <v>219</v>
      </c>
      <c r="C905" s="35">
        <v>11</v>
      </c>
      <c r="D905" s="35">
        <v>1966</v>
      </c>
      <c r="E905" s="75">
        <v>10.955</v>
      </c>
      <c r="F905" s="75">
        <v>1.120164</v>
      </c>
      <c r="G905" s="75" t="s">
        <v>154</v>
      </c>
      <c r="H905" s="75">
        <v>9.834836</v>
      </c>
      <c r="I905" s="70">
        <v>517.52</v>
      </c>
      <c r="J905" s="75">
        <v>9.23</v>
      </c>
      <c r="K905" s="70">
        <v>340.38</v>
      </c>
      <c r="L905" s="64">
        <f>J905/K905</f>
        <v>0.02711675186556202</v>
      </c>
      <c r="M905" s="36">
        <v>328.526</v>
      </c>
      <c r="N905" s="65">
        <f>L905*M905</f>
        <v>8.908558023385629</v>
      </c>
      <c r="O905" s="65">
        <f>L905*60*1000</f>
        <v>1627.0051119337213</v>
      </c>
      <c r="P905" s="66">
        <f>O905*M905/1000</f>
        <v>534.5134814031378</v>
      </c>
    </row>
    <row r="906" spans="1:16" ht="12.75" customHeight="1">
      <c r="A906" s="380"/>
      <c r="B906" s="67" t="s">
        <v>292</v>
      </c>
      <c r="C906" s="35">
        <v>12</v>
      </c>
      <c r="D906" s="35">
        <v>1962</v>
      </c>
      <c r="E906" s="75">
        <v>18.535</v>
      </c>
      <c r="F906" s="75">
        <v>0.408</v>
      </c>
      <c r="G906" s="75">
        <v>0.14</v>
      </c>
      <c r="H906" s="75">
        <v>17.987</v>
      </c>
      <c r="I906" s="70">
        <v>864.16</v>
      </c>
      <c r="J906" s="75">
        <v>14.91</v>
      </c>
      <c r="K906" s="70">
        <v>544.13</v>
      </c>
      <c r="L906" s="64">
        <f>J906/K906</f>
        <v>0.027401540073144284</v>
      </c>
      <c r="M906" s="36">
        <v>338.118</v>
      </c>
      <c r="N906" s="65">
        <f>L906*M906</f>
        <v>9.2649539264514</v>
      </c>
      <c r="O906" s="65">
        <f>L906*60*1000</f>
        <v>1644.092404388657</v>
      </c>
      <c r="P906" s="66">
        <f>O906*M906/1000</f>
        <v>555.897235587084</v>
      </c>
    </row>
    <row r="907" spans="1:16" ht="13.5" customHeight="1">
      <c r="A907" s="380"/>
      <c r="B907" s="67" t="s">
        <v>260</v>
      </c>
      <c r="C907" s="35">
        <v>5</v>
      </c>
      <c r="D907" s="35" t="s">
        <v>24</v>
      </c>
      <c r="E907" s="75">
        <v>6.99</v>
      </c>
      <c r="F907" s="75">
        <f>3*0.051</f>
        <v>0.153</v>
      </c>
      <c r="G907" s="75">
        <f>5*0.16</f>
        <v>0.8</v>
      </c>
      <c r="H907" s="75">
        <f>+E907-F907-G907</f>
        <v>6.037000000000001</v>
      </c>
      <c r="I907" s="233"/>
      <c r="J907" s="75">
        <f>+H907</f>
        <v>6.037000000000001</v>
      </c>
      <c r="K907" s="70">
        <v>220.11</v>
      </c>
      <c r="L907" s="64">
        <f>J907/K907</f>
        <v>0.027427195493162512</v>
      </c>
      <c r="M907" s="36">
        <v>343.2</v>
      </c>
      <c r="N907" s="65">
        <f>L907*M907</f>
        <v>9.413013493253374</v>
      </c>
      <c r="O907" s="65">
        <f>L907*60*1000</f>
        <v>1645.6317295897506</v>
      </c>
      <c r="P907" s="66">
        <f>O907*M907/1000</f>
        <v>564.7808095952024</v>
      </c>
    </row>
    <row r="908" spans="1:16" ht="12.75" customHeight="1">
      <c r="A908" s="380"/>
      <c r="B908" s="67" t="s">
        <v>478</v>
      </c>
      <c r="C908" s="35">
        <v>4</v>
      </c>
      <c r="D908" s="35">
        <v>1961</v>
      </c>
      <c r="E908" s="75">
        <f>F908+G908+H908</f>
        <v>5.583</v>
      </c>
      <c r="F908" s="75">
        <v>0.54</v>
      </c>
      <c r="G908" s="75">
        <v>0.573</v>
      </c>
      <c r="H908" s="75">
        <v>4.47</v>
      </c>
      <c r="I908" s="70">
        <v>161.66</v>
      </c>
      <c r="J908" s="75">
        <f>H908</f>
        <v>4.47</v>
      </c>
      <c r="K908" s="70">
        <f>I908</f>
        <v>161.66</v>
      </c>
      <c r="L908" s="64">
        <f>J908/K908</f>
        <v>0.02765062476803167</v>
      </c>
      <c r="M908" s="36">
        <v>206.9</v>
      </c>
      <c r="N908" s="65">
        <f>L908*M908</f>
        <v>5.720914264505753</v>
      </c>
      <c r="O908" s="65">
        <f>L908*60*1000</f>
        <v>1659.0374860819004</v>
      </c>
      <c r="P908" s="66">
        <f>O908*M908/1000</f>
        <v>343.2548558703452</v>
      </c>
    </row>
    <row r="909" spans="1:16" ht="12.75" customHeight="1">
      <c r="A909" s="380"/>
      <c r="B909" s="46" t="s">
        <v>68</v>
      </c>
      <c r="C909" s="25">
        <v>77</v>
      </c>
      <c r="D909" s="25">
        <v>1960</v>
      </c>
      <c r="E909" s="76">
        <v>42.42</v>
      </c>
      <c r="F909" s="76">
        <v>6.27</v>
      </c>
      <c r="G909" s="76">
        <v>1.14</v>
      </c>
      <c r="H909" s="76">
        <f>E909-F909-G909</f>
        <v>35.010000000000005</v>
      </c>
      <c r="I909" s="38">
        <v>1264.2</v>
      </c>
      <c r="J909" s="76">
        <f>H909/I909*K909</f>
        <v>34.5890602752729</v>
      </c>
      <c r="K909" s="25">
        <v>1249</v>
      </c>
      <c r="L909" s="47">
        <f>J909/K909</f>
        <v>0.027693402942572377</v>
      </c>
      <c r="M909" s="141">
        <f>294.4*1.09</f>
        <v>320.896</v>
      </c>
      <c r="N909" s="30">
        <f>L909*M909</f>
        <v>8.886702230659706</v>
      </c>
      <c r="O909" s="30">
        <f>L909*60*1000</f>
        <v>1661.6041765543425</v>
      </c>
      <c r="P909" s="48">
        <f>O909*M909/1000</f>
        <v>533.2021338395823</v>
      </c>
    </row>
    <row r="910" spans="1:16" ht="12.75" customHeight="1">
      <c r="A910" s="380"/>
      <c r="B910" s="256" t="s">
        <v>934</v>
      </c>
      <c r="C910" s="35">
        <v>8</v>
      </c>
      <c r="D910" s="35">
        <v>1959</v>
      </c>
      <c r="E910" s="251">
        <f>F910+G910+H910</f>
        <v>10.3</v>
      </c>
      <c r="F910" s="251">
        <v>0.63</v>
      </c>
      <c r="G910" s="251">
        <v>1.28</v>
      </c>
      <c r="H910" s="251">
        <v>8.39</v>
      </c>
      <c r="I910" s="252">
        <v>371.23</v>
      </c>
      <c r="J910" s="251">
        <f>E910</f>
        <v>10.3</v>
      </c>
      <c r="K910" s="252">
        <v>371.23</v>
      </c>
      <c r="L910" s="253">
        <f>J910/K910</f>
        <v>0.027745602456698003</v>
      </c>
      <c r="M910" s="258">
        <v>244.38</v>
      </c>
      <c r="N910" s="254">
        <f>L910*M910</f>
        <v>6.780470328367858</v>
      </c>
      <c r="O910" s="254">
        <f>L910*60*1000</f>
        <v>1664.7361474018803</v>
      </c>
      <c r="P910" s="255">
        <f>O910*M910/1000</f>
        <v>406.8282197020715</v>
      </c>
    </row>
    <row r="911" spans="1:16" ht="12.75" customHeight="1">
      <c r="A911" s="380"/>
      <c r="B911" s="67" t="s">
        <v>259</v>
      </c>
      <c r="C911" s="35">
        <v>3</v>
      </c>
      <c r="D911" s="35" t="s">
        <v>24</v>
      </c>
      <c r="E911" s="75">
        <v>4.6</v>
      </c>
      <c r="F911" s="75">
        <f>5*0.051</f>
        <v>0.255</v>
      </c>
      <c r="G911" s="75">
        <f>3*0.16</f>
        <v>0.48</v>
      </c>
      <c r="H911" s="75">
        <f>+E911-F911-G911</f>
        <v>3.8649999999999998</v>
      </c>
      <c r="I911" s="233"/>
      <c r="J911" s="75">
        <f>+H911</f>
        <v>3.8649999999999998</v>
      </c>
      <c r="K911" s="70">
        <v>139.3</v>
      </c>
      <c r="L911" s="64">
        <f>J911/K911</f>
        <v>0.027745872218234022</v>
      </c>
      <c r="M911" s="36">
        <v>343.2</v>
      </c>
      <c r="N911" s="65">
        <f>L911*M911</f>
        <v>9.522383345297916</v>
      </c>
      <c r="O911" s="65">
        <f>L911*60*1000</f>
        <v>1664.7523330940412</v>
      </c>
      <c r="P911" s="66">
        <f>O911*M911/1000</f>
        <v>571.3430007178749</v>
      </c>
    </row>
    <row r="912" spans="1:16" ht="12.75" customHeight="1">
      <c r="A912" s="380"/>
      <c r="B912" s="256" t="s">
        <v>935</v>
      </c>
      <c r="C912" s="35">
        <v>20</v>
      </c>
      <c r="D912" s="35">
        <v>1986</v>
      </c>
      <c r="E912" s="251">
        <f>F912+G912+H912</f>
        <v>29.6</v>
      </c>
      <c r="F912" s="251">
        <v>1.12</v>
      </c>
      <c r="G912" s="251">
        <v>3.2</v>
      </c>
      <c r="H912" s="251">
        <v>25.28</v>
      </c>
      <c r="I912" s="252">
        <v>1062.4</v>
      </c>
      <c r="J912" s="251">
        <f>E912</f>
        <v>29.6</v>
      </c>
      <c r="K912" s="252">
        <v>1062.4</v>
      </c>
      <c r="L912" s="253">
        <f>J912/K912</f>
        <v>0.02786144578313253</v>
      </c>
      <c r="M912" s="258">
        <v>244.38</v>
      </c>
      <c r="N912" s="254">
        <f>L912*M912</f>
        <v>6.808780120481927</v>
      </c>
      <c r="O912" s="254">
        <f>L912*60*1000</f>
        <v>1671.6867469879517</v>
      </c>
      <c r="P912" s="255">
        <f>O912*M912/1000</f>
        <v>408.52680722891563</v>
      </c>
    </row>
    <row r="913" spans="1:16" ht="13.5" customHeight="1">
      <c r="A913" s="380"/>
      <c r="B913" s="67" t="s">
        <v>717</v>
      </c>
      <c r="C913" s="35">
        <v>30</v>
      </c>
      <c r="D913" s="35" t="s">
        <v>24</v>
      </c>
      <c r="E913" s="75">
        <v>48.98</v>
      </c>
      <c r="F913" s="75">
        <v>2.04</v>
      </c>
      <c r="G913" s="75">
        <v>4.8</v>
      </c>
      <c r="H913" s="75">
        <v>42.14</v>
      </c>
      <c r="I913" s="70">
        <v>1511</v>
      </c>
      <c r="J913" s="75">
        <v>42.14</v>
      </c>
      <c r="K913" s="70">
        <v>1511</v>
      </c>
      <c r="L913" s="64">
        <f>J913/K913</f>
        <v>0.027888815354070152</v>
      </c>
      <c r="M913" s="36">
        <v>234.2</v>
      </c>
      <c r="N913" s="65">
        <f>L913*M913</f>
        <v>6.531560555923229</v>
      </c>
      <c r="O913" s="65">
        <f>L913*60*1000</f>
        <v>1673.3289212442091</v>
      </c>
      <c r="P913" s="66">
        <f>O913*M913/1000</f>
        <v>391.8936333553938</v>
      </c>
    </row>
    <row r="914" spans="1:16" ht="12.75" customHeight="1">
      <c r="A914" s="380"/>
      <c r="B914" s="67" t="s">
        <v>352</v>
      </c>
      <c r="C914" s="35">
        <v>12</v>
      </c>
      <c r="D914" s="35">
        <v>1969</v>
      </c>
      <c r="E914" s="75">
        <v>15.598</v>
      </c>
      <c r="F914" s="75">
        <v>0.663</v>
      </c>
      <c r="G914" s="75" t="s">
        <v>154</v>
      </c>
      <c r="H914" s="75">
        <v>14.935</v>
      </c>
      <c r="I914" s="70">
        <v>534.97</v>
      </c>
      <c r="J914" s="75">
        <v>14.93</v>
      </c>
      <c r="K914" s="70">
        <v>534.97</v>
      </c>
      <c r="L914" s="64">
        <f>J914/K914</f>
        <v>0.027908106996654015</v>
      </c>
      <c r="M914" s="36">
        <v>328.526</v>
      </c>
      <c r="N914" s="65">
        <f>L914*M914</f>
        <v>9.168538759182757</v>
      </c>
      <c r="O914" s="65">
        <f>L914*60*1000</f>
        <v>1674.4864197992408</v>
      </c>
      <c r="P914" s="66">
        <f>O914*M914/1000</f>
        <v>550.1123255509654</v>
      </c>
    </row>
    <row r="915" spans="1:16" ht="12.75" customHeight="1">
      <c r="A915" s="380"/>
      <c r="B915" s="67" t="s">
        <v>437</v>
      </c>
      <c r="C915" s="35">
        <v>18</v>
      </c>
      <c r="D915" s="35">
        <v>1967</v>
      </c>
      <c r="E915" s="75">
        <v>17.711001</v>
      </c>
      <c r="F915" s="75">
        <v>1.02</v>
      </c>
      <c r="G915" s="75">
        <v>0</v>
      </c>
      <c r="H915" s="75">
        <v>16.691001</v>
      </c>
      <c r="I915" s="70">
        <v>597.08</v>
      </c>
      <c r="J915" s="75">
        <v>16.691001</v>
      </c>
      <c r="K915" s="70">
        <v>597.08</v>
      </c>
      <c r="L915" s="64">
        <f>J915/K915</f>
        <v>0.027954379647618408</v>
      </c>
      <c r="M915" s="36">
        <v>254.2</v>
      </c>
      <c r="N915" s="65">
        <f>L915*M915</f>
        <v>7.106003306424599</v>
      </c>
      <c r="O915" s="65">
        <f>L915*60*1000</f>
        <v>1677.2627788571044</v>
      </c>
      <c r="P915" s="66">
        <f>O915*M915/1000</f>
        <v>426.3601983854759</v>
      </c>
    </row>
    <row r="916" spans="1:16" ht="12.75" customHeight="1">
      <c r="A916" s="380"/>
      <c r="B916" s="46" t="s">
        <v>502</v>
      </c>
      <c r="C916" s="25">
        <v>42</v>
      </c>
      <c r="D916" s="25" t="s">
        <v>24</v>
      </c>
      <c r="E916" s="76">
        <f>SUM(F916:H916)</f>
        <v>36.78</v>
      </c>
      <c r="F916" s="76">
        <v>1.73</v>
      </c>
      <c r="G916" s="76">
        <v>0.37</v>
      </c>
      <c r="H916" s="76">
        <v>34.68</v>
      </c>
      <c r="I916" s="38">
        <v>1469.95</v>
      </c>
      <c r="J916" s="76">
        <v>30.16</v>
      </c>
      <c r="K916" s="38">
        <v>1078.77</v>
      </c>
      <c r="L916" s="64">
        <f>J916/K916</f>
        <v>0.027957766715796695</v>
      </c>
      <c r="M916" s="36">
        <v>206.1</v>
      </c>
      <c r="N916" s="65">
        <f>L916*M916</f>
        <v>5.762095720125699</v>
      </c>
      <c r="O916" s="65">
        <f>L916*60*1000</f>
        <v>1677.4660029478016</v>
      </c>
      <c r="P916" s="66">
        <f>O916*M916/1000</f>
        <v>345.7257432075419</v>
      </c>
    </row>
    <row r="917" spans="1:16" ht="12.75" customHeight="1">
      <c r="A917" s="380"/>
      <c r="B917" s="67" t="s">
        <v>262</v>
      </c>
      <c r="C917" s="35">
        <v>4</v>
      </c>
      <c r="D917" s="35" t="s">
        <v>24</v>
      </c>
      <c r="E917" s="75">
        <v>4.99</v>
      </c>
      <c r="F917" s="75">
        <f>2*0.051</f>
        <v>0.102</v>
      </c>
      <c r="G917" s="75">
        <f>4*0.16</f>
        <v>0.64</v>
      </c>
      <c r="H917" s="75">
        <f>+E917-F917-G917</f>
        <v>4.248</v>
      </c>
      <c r="I917" s="233"/>
      <c r="J917" s="75">
        <f>+H917</f>
        <v>4.248</v>
      </c>
      <c r="K917" s="70">
        <v>151.85</v>
      </c>
      <c r="L917" s="64">
        <f>J917/K917</f>
        <v>0.027974975304576887</v>
      </c>
      <c r="M917" s="36">
        <v>343.2</v>
      </c>
      <c r="N917" s="65">
        <f>L917*M917</f>
        <v>9.601011524530787</v>
      </c>
      <c r="O917" s="65">
        <f>L917*60*1000</f>
        <v>1678.4985182746132</v>
      </c>
      <c r="P917" s="66">
        <f>O917*M917/1000</f>
        <v>576.0606914718472</v>
      </c>
    </row>
    <row r="918" spans="1:16" ht="12.75" customHeight="1">
      <c r="A918" s="380"/>
      <c r="B918" s="217" t="s">
        <v>242</v>
      </c>
      <c r="C918" s="268">
        <v>6</v>
      </c>
      <c r="D918" s="218">
        <v>1961</v>
      </c>
      <c r="E918" s="219">
        <v>10.184</v>
      </c>
      <c r="F918" s="220">
        <v>0</v>
      </c>
      <c r="G918" s="220">
        <v>0</v>
      </c>
      <c r="H918" s="220">
        <v>10.184</v>
      </c>
      <c r="I918" s="221">
        <v>362.24</v>
      </c>
      <c r="J918" s="220">
        <v>10.184</v>
      </c>
      <c r="K918" s="221">
        <v>362.24</v>
      </c>
      <c r="L918" s="222">
        <v>0.028113957597173143</v>
      </c>
      <c r="M918" s="223">
        <v>314.574</v>
      </c>
      <c r="N918" s="224">
        <v>8.843920097173145</v>
      </c>
      <c r="O918" s="224">
        <v>1686.8374558303885</v>
      </c>
      <c r="P918" s="225">
        <v>530.6352058303887</v>
      </c>
    </row>
    <row r="919" spans="1:16" ht="12.75" customHeight="1">
      <c r="A919" s="380"/>
      <c r="B919" s="46" t="s">
        <v>338</v>
      </c>
      <c r="C919" s="25">
        <v>12</v>
      </c>
      <c r="D919" s="25">
        <v>1962</v>
      </c>
      <c r="E919" s="76">
        <f>SUM(F919:H919)</f>
        <v>13.91</v>
      </c>
      <c r="F919" s="76"/>
      <c r="G919" s="76"/>
      <c r="H919" s="76">
        <v>13.91</v>
      </c>
      <c r="I919" s="38">
        <v>529.97</v>
      </c>
      <c r="J919" s="76">
        <v>13.6817</v>
      </c>
      <c r="K919" s="38">
        <v>486.49</v>
      </c>
      <c r="L919" s="47">
        <f>J919/K919</f>
        <v>0.028123291331784823</v>
      </c>
      <c r="M919" s="30">
        <v>285.3</v>
      </c>
      <c r="N919" s="30">
        <f>L919*M919*1.09</f>
        <v>8.74569676848445</v>
      </c>
      <c r="O919" s="30">
        <f>L919*60*1000</f>
        <v>1687.3974799070895</v>
      </c>
      <c r="P919" s="48">
        <v>524.741806109067</v>
      </c>
    </row>
    <row r="920" spans="1:16" ht="12.75" customHeight="1">
      <c r="A920" s="380"/>
      <c r="B920" s="46" t="s">
        <v>145</v>
      </c>
      <c r="C920" s="25">
        <v>12</v>
      </c>
      <c r="D920" s="25">
        <v>1963</v>
      </c>
      <c r="E920" s="76">
        <f>SUM(F920:H920)</f>
        <v>16.015001</v>
      </c>
      <c r="F920" s="76">
        <v>0.2685</v>
      </c>
      <c r="G920" s="76">
        <v>0.705</v>
      </c>
      <c r="H920" s="76">
        <v>15.041501</v>
      </c>
      <c r="I920" s="38">
        <v>534.54</v>
      </c>
      <c r="J920" s="76">
        <v>15.041501</v>
      </c>
      <c r="K920" s="38">
        <v>534.54</v>
      </c>
      <c r="L920" s="47">
        <f>J920/K920</f>
        <v>0.02813914954914506</v>
      </c>
      <c r="M920" s="30">
        <v>285.3</v>
      </c>
      <c r="N920" s="30">
        <f>L920*M920*1.09</f>
        <v>8.750628309344483</v>
      </c>
      <c r="O920" s="30">
        <f>L920*60*1000</f>
        <v>1688.3489729487037</v>
      </c>
      <c r="P920" s="48">
        <v>525.037698560669</v>
      </c>
    </row>
    <row r="921" spans="1:16" ht="12.75" customHeight="1">
      <c r="A921" s="380"/>
      <c r="B921" s="67" t="s">
        <v>176</v>
      </c>
      <c r="C921" s="35">
        <v>9</v>
      </c>
      <c r="D921" s="35" t="s">
        <v>24</v>
      </c>
      <c r="E921" s="75">
        <f>F921+G921+H921</f>
        <v>13.722999999999999</v>
      </c>
      <c r="F921" s="75">
        <v>0.648</v>
      </c>
      <c r="G921" s="75">
        <v>1.6</v>
      </c>
      <c r="H921" s="75">
        <v>11.475</v>
      </c>
      <c r="I921" s="70">
        <v>407.19</v>
      </c>
      <c r="J921" s="75">
        <v>10.042</v>
      </c>
      <c r="K921" s="70">
        <v>356.36</v>
      </c>
      <c r="L921" s="64">
        <f>J921/K921</f>
        <v>0.028179369177236503</v>
      </c>
      <c r="M921" s="35">
        <v>351.85</v>
      </c>
      <c r="N921" s="65">
        <f>L921*M921</f>
        <v>9.914911045010664</v>
      </c>
      <c r="O921" s="65">
        <f>L921*60*1000</f>
        <v>1690.7621506341902</v>
      </c>
      <c r="P921" s="66">
        <f>O921*M921/1000</f>
        <v>594.89466270064</v>
      </c>
    </row>
    <row r="922" spans="1:16" ht="12.75" customHeight="1">
      <c r="A922" s="380"/>
      <c r="B922" s="46" t="s">
        <v>372</v>
      </c>
      <c r="C922" s="25">
        <v>7</v>
      </c>
      <c r="D922" s="25">
        <v>1955</v>
      </c>
      <c r="E922" s="76">
        <v>9.2</v>
      </c>
      <c r="F922" s="76"/>
      <c r="G922" s="76"/>
      <c r="H922" s="76">
        <f>E922-F922-G922</f>
        <v>9.2</v>
      </c>
      <c r="I922" s="38">
        <v>326.22</v>
      </c>
      <c r="J922" s="76">
        <v>9.2</v>
      </c>
      <c r="K922" s="38">
        <v>326.22</v>
      </c>
      <c r="L922" s="47">
        <f>J922/K922</f>
        <v>0.028201826987922257</v>
      </c>
      <c r="M922" s="30">
        <v>264.761</v>
      </c>
      <c r="N922" s="30">
        <f>L922*M922</f>
        <v>7.466743915149285</v>
      </c>
      <c r="O922" s="30">
        <f>L922*1000*60</f>
        <v>1692.1096192753355</v>
      </c>
      <c r="P922" s="48">
        <f>N922*60</f>
        <v>448.00463490895714</v>
      </c>
    </row>
    <row r="923" spans="1:16" ht="13.5" customHeight="1">
      <c r="A923" s="380"/>
      <c r="B923" s="67" t="s">
        <v>593</v>
      </c>
      <c r="C923" s="35">
        <v>19</v>
      </c>
      <c r="D923" s="35">
        <v>1959</v>
      </c>
      <c r="E923" s="75">
        <v>32.8647</v>
      </c>
      <c r="F923" s="75">
        <v>4.20949</v>
      </c>
      <c r="G923" s="75">
        <v>0.17</v>
      </c>
      <c r="H923" s="75">
        <f>E923-F923-G923</f>
        <v>28.48521</v>
      </c>
      <c r="I923" s="70">
        <v>1005.13</v>
      </c>
      <c r="J923" s="75">
        <f>H923</f>
        <v>28.48521</v>
      </c>
      <c r="K923" s="70">
        <f>I923</f>
        <v>1005.13</v>
      </c>
      <c r="L923" s="64">
        <f>J923/K923</f>
        <v>0.028339826689084992</v>
      </c>
      <c r="M923" s="36">
        <v>279.5</v>
      </c>
      <c r="N923" s="65">
        <f>L923*M923</f>
        <v>7.920981559599255</v>
      </c>
      <c r="O923" s="65">
        <f>L923*60*1000</f>
        <v>1700.3896013450997</v>
      </c>
      <c r="P923" s="66">
        <f>O923*M923/1000</f>
        <v>475.25889357595537</v>
      </c>
    </row>
    <row r="924" spans="1:16" ht="12.75" customHeight="1">
      <c r="A924" s="380"/>
      <c r="B924" s="67" t="s">
        <v>592</v>
      </c>
      <c r="C924" s="35">
        <v>9</v>
      </c>
      <c r="D924" s="35">
        <v>1966</v>
      </c>
      <c r="E924" s="75">
        <v>16.60576</v>
      </c>
      <c r="F924" s="75">
        <v>1.23192</v>
      </c>
      <c r="G924" s="75">
        <v>0.008</v>
      </c>
      <c r="H924" s="75">
        <f>E924-F924-G924</f>
        <v>15.36584</v>
      </c>
      <c r="I924" s="70">
        <v>541.95</v>
      </c>
      <c r="J924" s="75">
        <f>H924</f>
        <v>15.36584</v>
      </c>
      <c r="K924" s="70">
        <f>I924</f>
        <v>541.95</v>
      </c>
      <c r="L924" s="64">
        <f>J924/K924</f>
        <v>0.028352873881354365</v>
      </c>
      <c r="M924" s="36">
        <v>279.5</v>
      </c>
      <c r="N924" s="65">
        <f>L924*M924</f>
        <v>7.924628249838545</v>
      </c>
      <c r="O924" s="65">
        <f>L924*60*1000</f>
        <v>1701.1724328812618</v>
      </c>
      <c r="P924" s="66">
        <f>O924*M924/1000</f>
        <v>475.47769499031267</v>
      </c>
    </row>
    <row r="925" spans="1:16" ht="12.75" customHeight="1">
      <c r="A925" s="380"/>
      <c r="B925" s="67" t="s">
        <v>295</v>
      </c>
      <c r="C925" s="35">
        <v>7</v>
      </c>
      <c r="D925" s="35">
        <v>1959</v>
      </c>
      <c r="E925" s="75">
        <v>6.554</v>
      </c>
      <c r="F925" s="75">
        <v>0.255</v>
      </c>
      <c r="G925" s="75">
        <v>0.05</v>
      </c>
      <c r="H925" s="75">
        <v>6.249</v>
      </c>
      <c r="I925" s="70">
        <v>598.8</v>
      </c>
      <c r="J925" s="75">
        <v>5.88</v>
      </c>
      <c r="K925" s="70">
        <v>206.9</v>
      </c>
      <c r="L925" s="64">
        <f>J925/K925</f>
        <v>0.028419526341227644</v>
      </c>
      <c r="M925" s="36">
        <v>338.118</v>
      </c>
      <c r="N925" s="65">
        <f>L925*M925</f>
        <v>9.609153407443209</v>
      </c>
      <c r="O925" s="65">
        <f>L925*60*1000</f>
        <v>1705.1715804736587</v>
      </c>
      <c r="P925" s="66">
        <f>O925*M925/1000</f>
        <v>576.5492044465925</v>
      </c>
    </row>
    <row r="926" spans="1:16" ht="12.75" customHeight="1">
      <c r="A926" s="380"/>
      <c r="B926" s="46" t="s">
        <v>991</v>
      </c>
      <c r="C926" s="25">
        <v>6</v>
      </c>
      <c r="D926" s="25">
        <v>1982</v>
      </c>
      <c r="E926" s="76">
        <v>9.2</v>
      </c>
      <c r="F926" s="76">
        <v>0.41</v>
      </c>
      <c r="G926" s="76">
        <v>0.96</v>
      </c>
      <c r="H926" s="76">
        <v>7.83</v>
      </c>
      <c r="I926" s="38">
        <v>275</v>
      </c>
      <c r="J926" s="76">
        <v>7.83</v>
      </c>
      <c r="K926" s="38">
        <v>275</v>
      </c>
      <c r="L926" s="47">
        <f>H926/K926</f>
        <v>0.028472727272727275</v>
      </c>
      <c r="M926" s="30">
        <v>228.46</v>
      </c>
      <c r="N926" s="30">
        <f>L926*M926</f>
        <v>6.5048792727272735</v>
      </c>
      <c r="O926" s="30">
        <f>L926*60*1000</f>
        <v>1708.3636363636365</v>
      </c>
      <c r="P926" s="48">
        <f>N926*60</f>
        <v>390.2927563636364</v>
      </c>
    </row>
    <row r="927" spans="1:16" ht="12.75" customHeight="1">
      <c r="A927" s="380"/>
      <c r="B927" s="109" t="s">
        <v>271</v>
      </c>
      <c r="C927" s="35">
        <v>6</v>
      </c>
      <c r="D927" s="35">
        <v>1953</v>
      </c>
      <c r="E927" s="75">
        <v>6.056</v>
      </c>
      <c r="F927" s="75">
        <v>0.272</v>
      </c>
      <c r="G927" s="75">
        <v>0.02</v>
      </c>
      <c r="H927" s="75">
        <f>E927-F927-G927</f>
        <v>5.764</v>
      </c>
      <c r="I927" s="36">
        <v>272.16</v>
      </c>
      <c r="J927" s="75">
        <v>4.072</v>
      </c>
      <c r="K927" s="36">
        <v>142.96</v>
      </c>
      <c r="L927" s="64">
        <f>J927/K927</f>
        <v>0.02848349188584219</v>
      </c>
      <c r="M927" s="36">
        <v>302.3</v>
      </c>
      <c r="N927" s="65">
        <f>L927*M927</f>
        <v>8.610559597090095</v>
      </c>
      <c r="O927" s="65">
        <f>L927*60*1000</f>
        <v>1709.0095131505313</v>
      </c>
      <c r="P927" s="66">
        <f>O927*M927/1000</f>
        <v>516.6335758254056</v>
      </c>
    </row>
    <row r="928" spans="1:16" ht="12.75" customHeight="1">
      <c r="A928" s="380"/>
      <c r="B928" s="67" t="s">
        <v>553</v>
      </c>
      <c r="C928" s="35">
        <v>4</v>
      </c>
      <c r="D928" s="35">
        <v>1912</v>
      </c>
      <c r="E928" s="75">
        <v>3.8</v>
      </c>
      <c r="F928" s="75"/>
      <c r="G928" s="75"/>
      <c r="H928" s="75">
        <v>3.8</v>
      </c>
      <c r="I928" s="70">
        <v>133</v>
      </c>
      <c r="J928" s="75">
        <v>3.8</v>
      </c>
      <c r="K928" s="70">
        <v>133</v>
      </c>
      <c r="L928" s="64">
        <f>J928/K928</f>
        <v>0.02857142857142857</v>
      </c>
      <c r="M928" s="36">
        <v>250.6</v>
      </c>
      <c r="N928" s="65">
        <f>L928*M928</f>
        <v>7.159999999999999</v>
      </c>
      <c r="O928" s="65">
        <f>L928*60*1000</f>
        <v>1714.2857142857142</v>
      </c>
      <c r="P928" s="66">
        <f>O928*M928/1000</f>
        <v>429.6</v>
      </c>
    </row>
    <row r="929" spans="1:16" ht="12.75" customHeight="1">
      <c r="A929" s="380"/>
      <c r="B929" s="46" t="s">
        <v>992</v>
      </c>
      <c r="C929" s="25">
        <v>6</v>
      </c>
      <c r="D929" s="25">
        <v>1981</v>
      </c>
      <c r="E929" s="76">
        <v>11.6</v>
      </c>
      <c r="F929" s="76">
        <v>0.71</v>
      </c>
      <c r="G929" s="76">
        <v>0.96</v>
      </c>
      <c r="H929" s="76">
        <v>9.93</v>
      </c>
      <c r="I929" s="38">
        <v>347</v>
      </c>
      <c r="J929" s="76">
        <v>9.93</v>
      </c>
      <c r="K929" s="38">
        <v>347</v>
      </c>
      <c r="L929" s="47">
        <f>H929/K929</f>
        <v>0.02861671469740634</v>
      </c>
      <c r="M929" s="30">
        <v>228.46</v>
      </c>
      <c r="N929" s="30">
        <f>L929*M929</f>
        <v>6.537774639769452</v>
      </c>
      <c r="O929" s="30">
        <f>L929*60*1000</f>
        <v>1717.0028818443802</v>
      </c>
      <c r="P929" s="48">
        <f>N929*60</f>
        <v>392.26647838616714</v>
      </c>
    </row>
    <row r="930" spans="1:16" ht="12.75" customHeight="1">
      <c r="A930" s="380"/>
      <c r="B930" s="67" t="s">
        <v>594</v>
      </c>
      <c r="C930" s="35">
        <v>75</v>
      </c>
      <c r="D930" s="35">
        <v>1963</v>
      </c>
      <c r="E930" s="75">
        <v>44.88607</v>
      </c>
      <c r="F930" s="75">
        <v>6.25607</v>
      </c>
      <c r="G930" s="75">
        <v>0.73</v>
      </c>
      <c r="H930" s="75">
        <f>E930-F930-G930</f>
        <v>37.9</v>
      </c>
      <c r="I930" s="70">
        <v>1322.94</v>
      </c>
      <c r="J930" s="75">
        <f>H930</f>
        <v>37.9</v>
      </c>
      <c r="K930" s="70">
        <f>I930</f>
        <v>1322.94</v>
      </c>
      <c r="L930" s="64">
        <f>J930/K930</f>
        <v>0.028648313604547445</v>
      </c>
      <c r="M930" s="36">
        <v>279.5</v>
      </c>
      <c r="N930" s="65">
        <f>L930*M930</f>
        <v>8.007203652471011</v>
      </c>
      <c r="O930" s="65">
        <f>L930*60*1000</f>
        <v>1718.8988162728467</v>
      </c>
      <c r="P930" s="66">
        <f>O930*M930/1000</f>
        <v>480.4322191482607</v>
      </c>
    </row>
    <row r="931" spans="1:16" ht="12.75" customHeight="1">
      <c r="A931" s="380"/>
      <c r="B931" s="46" t="s">
        <v>993</v>
      </c>
      <c r="C931" s="25">
        <v>9</v>
      </c>
      <c r="D931" s="25">
        <v>1981</v>
      </c>
      <c r="E931" s="76">
        <v>14</v>
      </c>
      <c r="F931" s="76">
        <v>0.74</v>
      </c>
      <c r="G931" s="76">
        <v>1.44</v>
      </c>
      <c r="H931" s="76">
        <v>11.82</v>
      </c>
      <c r="I931" s="38">
        <v>412</v>
      </c>
      <c r="J931" s="76">
        <v>11.82</v>
      </c>
      <c r="K931" s="38">
        <v>412</v>
      </c>
      <c r="L931" s="47">
        <f>H931/K931</f>
        <v>0.028689320388349517</v>
      </c>
      <c r="M931" s="30">
        <v>228.46</v>
      </c>
      <c r="N931" s="30">
        <f>L931*M931</f>
        <v>6.5543621359223305</v>
      </c>
      <c r="O931" s="30">
        <f>L931*60*1000</f>
        <v>1721.3592233009708</v>
      </c>
      <c r="P931" s="48">
        <f>N931*60</f>
        <v>393.2617281553398</v>
      </c>
    </row>
    <row r="932" spans="1:16" ht="12.75" customHeight="1">
      <c r="A932" s="380"/>
      <c r="B932" s="321" t="s">
        <v>1036</v>
      </c>
      <c r="C932" s="312">
        <v>4</v>
      </c>
      <c r="D932" s="313" t="s">
        <v>24</v>
      </c>
      <c r="E932" s="314">
        <v>6.058</v>
      </c>
      <c r="F932" s="314">
        <v>0.16</v>
      </c>
      <c r="G932" s="315">
        <v>0.4</v>
      </c>
      <c r="H932" s="314">
        <v>5.5</v>
      </c>
      <c r="I932" s="316">
        <v>191.55</v>
      </c>
      <c r="J932" s="314">
        <v>5.5</v>
      </c>
      <c r="K932" s="317">
        <v>191.55</v>
      </c>
      <c r="L932" s="64">
        <f>J932/K932</f>
        <v>0.028713129731140694</v>
      </c>
      <c r="M932" s="36">
        <v>269.2</v>
      </c>
      <c r="N932" s="65">
        <f>L932*M932</f>
        <v>7.729574523623074</v>
      </c>
      <c r="O932" s="65">
        <f>L932*60*1000</f>
        <v>1722.7877838684415</v>
      </c>
      <c r="P932" s="66">
        <f>O932*M932/1000</f>
        <v>463.7744714173844</v>
      </c>
    </row>
    <row r="933" spans="1:16" ht="12.75" customHeight="1">
      <c r="A933" s="380"/>
      <c r="B933" s="67" t="s">
        <v>797</v>
      </c>
      <c r="C933" s="35">
        <v>12</v>
      </c>
      <c r="D933" s="35">
        <v>1987</v>
      </c>
      <c r="E933" s="75">
        <v>22.757</v>
      </c>
      <c r="F933" s="75">
        <v>1.064</v>
      </c>
      <c r="G933" s="75">
        <v>1.92</v>
      </c>
      <c r="H933" s="75">
        <v>19.773</v>
      </c>
      <c r="I933" s="70">
        <v>686.57</v>
      </c>
      <c r="J933" s="75">
        <v>19.773</v>
      </c>
      <c r="K933" s="70">
        <v>686.57</v>
      </c>
      <c r="L933" s="64">
        <f>J933/K933</f>
        <v>0.02879968539260381</v>
      </c>
      <c r="M933" s="36">
        <v>216.6</v>
      </c>
      <c r="N933" s="65">
        <f>L933*M933</f>
        <v>6.238011856037985</v>
      </c>
      <c r="O933" s="65">
        <f>L933*60*1000</f>
        <v>1727.9811235562286</v>
      </c>
      <c r="P933" s="66">
        <f>O933*M933/1000</f>
        <v>374.2807113622791</v>
      </c>
    </row>
    <row r="934" spans="1:16" ht="12.75" customHeight="1">
      <c r="A934" s="380"/>
      <c r="B934" s="67" t="s">
        <v>551</v>
      </c>
      <c r="C934" s="35">
        <v>6</v>
      </c>
      <c r="D934" s="35">
        <v>1961</v>
      </c>
      <c r="E934" s="75">
        <v>7.2</v>
      </c>
      <c r="F934" s="75"/>
      <c r="G934" s="75"/>
      <c r="H934" s="75">
        <v>7.2</v>
      </c>
      <c r="I934" s="70">
        <v>250</v>
      </c>
      <c r="J934" s="75">
        <v>7.2</v>
      </c>
      <c r="K934" s="70">
        <v>250</v>
      </c>
      <c r="L934" s="64">
        <f>J934/K934</f>
        <v>0.0288</v>
      </c>
      <c r="M934" s="36">
        <v>250.6</v>
      </c>
      <c r="N934" s="65">
        <f>L934*M934</f>
        <v>7.21728</v>
      </c>
      <c r="O934" s="65">
        <f>L934*60*1000</f>
        <v>1728</v>
      </c>
      <c r="P934" s="66">
        <f>O934*M934/1000</f>
        <v>433.03679999999997</v>
      </c>
    </row>
    <row r="935" spans="1:16" ht="12.75" customHeight="1">
      <c r="A935" s="380"/>
      <c r="B935" s="67" t="s">
        <v>595</v>
      </c>
      <c r="C935" s="35">
        <v>9</v>
      </c>
      <c r="D935" s="35">
        <v>1962</v>
      </c>
      <c r="E935" s="75">
        <v>14.63105</v>
      </c>
      <c r="F935" s="75">
        <v>0.706452</v>
      </c>
      <c r="G935" s="75">
        <v>0.009</v>
      </c>
      <c r="H935" s="75">
        <f>E935-F935-G935</f>
        <v>13.915598</v>
      </c>
      <c r="I935" s="70">
        <v>482.49</v>
      </c>
      <c r="J935" s="75">
        <f>H935</f>
        <v>13.915598</v>
      </c>
      <c r="K935" s="70">
        <f>I935</f>
        <v>482.49</v>
      </c>
      <c r="L935" s="64">
        <f>J935/K935</f>
        <v>0.02884121536197641</v>
      </c>
      <c r="M935" s="36">
        <v>279.5</v>
      </c>
      <c r="N935" s="65">
        <f>L935*M935</f>
        <v>8.061119693672406</v>
      </c>
      <c r="O935" s="65">
        <f>L935*60*1000</f>
        <v>1730.4729217185845</v>
      </c>
      <c r="P935" s="66">
        <f>O935*M935/1000</f>
        <v>483.6671816203444</v>
      </c>
    </row>
    <row r="936" spans="1:16" ht="12.75" customHeight="1">
      <c r="A936" s="380"/>
      <c r="B936" s="67" t="s">
        <v>353</v>
      </c>
      <c r="C936" s="35">
        <v>13</v>
      </c>
      <c r="D936" s="35">
        <v>1940</v>
      </c>
      <c r="E936" s="75">
        <v>11.998</v>
      </c>
      <c r="F936" s="75" t="s">
        <v>154</v>
      </c>
      <c r="G936" s="75" t="s">
        <v>154</v>
      </c>
      <c r="H936" s="75">
        <v>11.998</v>
      </c>
      <c r="I936" s="70">
        <v>414.47</v>
      </c>
      <c r="J936" s="75">
        <v>12</v>
      </c>
      <c r="K936" s="70">
        <v>414.47</v>
      </c>
      <c r="L936" s="64">
        <f>J936/K936</f>
        <v>0.02895263830916592</v>
      </c>
      <c r="M936" s="36">
        <v>328.526</v>
      </c>
      <c r="N936" s="65">
        <f>L936*M936</f>
        <v>9.511694453157045</v>
      </c>
      <c r="O936" s="65">
        <f>L936*60*1000</f>
        <v>1737.1582985499551</v>
      </c>
      <c r="P936" s="66">
        <f>O936*M936/1000</f>
        <v>570.7016671894226</v>
      </c>
    </row>
    <row r="937" spans="1:16" ht="13.5" customHeight="1">
      <c r="A937" s="380"/>
      <c r="B937" s="67" t="s">
        <v>856</v>
      </c>
      <c r="C937" s="35">
        <v>12</v>
      </c>
      <c r="D937" s="35">
        <v>1960</v>
      </c>
      <c r="E937" s="75">
        <v>17.3</v>
      </c>
      <c r="F937" s="75">
        <v>1.246</v>
      </c>
      <c r="G937" s="75">
        <v>0.09</v>
      </c>
      <c r="H937" s="75">
        <v>15.963</v>
      </c>
      <c r="I937" s="118" t="s">
        <v>838</v>
      </c>
      <c r="J937" s="75">
        <v>15.963</v>
      </c>
      <c r="K937" s="70">
        <v>550.28</v>
      </c>
      <c r="L937" s="64">
        <f>J937/K937</f>
        <v>0.02900886821254634</v>
      </c>
      <c r="M937" s="36">
        <v>346.4</v>
      </c>
      <c r="N937" s="65">
        <f>L937*M937</f>
        <v>10.048671948826051</v>
      </c>
      <c r="O937" s="65">
        <f>L937*60*1000</f>
        <v>1740.5320927527803</v>
      </c>
      <c r="P937" s="66">
        <f>O937*M937/1000</f>
        <v>602.9203169295631</v>
      </c>
    </row>
    <row r="938" spans="1:16" ht="12.75" customHeight="1">
      <c r="A938" s="380"/>
      <c r="B938" s="46" t="s">
        <v>511</v>
      </c>
      <c r="C938" s="25">
        <v>4</v>
      </c>
      <c r="D938" s="25" t="s">
        <v>24</v>
      </c>
      <c r="E938" s="76">
        <f>SUM(F938:H938)</f>
        <v>8.64</v>
      </c>
      <c r="F938" s="76">
        <v>0.46</v>
      </c>
      <c r="G938" s="76">
        <v>0.65</v>
      </c>
      <c r="H938" s="76">
        <v>7.53</v>
      </c>
      <c r="I938" s="38">
        <v>258.86</v>
      </c>
      <c r="J938" s="76">
        <v>7.53</v>
      </c>
      <c r="K938" s="38">
        <v>258.86</v>
      </c>
      <c r="L938" s="64">
        <f>J938/K938</f>
        <v>0.029089082901954725</v>
      </c>
      <c r="M938" s="36">
        <v>206.1</v>
      </c>
      <c r="N938" s="65">
        <f>L938*M938</f>
        <v>5.995259986092869</v>
      </c>
      <c r="O938" s="65">
        <f>L938*60*1000</f>
        <v>1745.3449741172835</v>
      </c>
      <c r="P938" s="66">
        <f>O938*M938/1000</f>
        <v>359.71559916557214</v>
      </c>
    </row>
    <row r="939" spans="1:16" ht="12.75" customHeight="1">
      <c r="A939" s="380"/>
      <c r="B939" s="67" t="s">
        <v>450</v>
      </c>
      <c r="C939" s="35">
        <v>12</v>
      </c>
      <c r="D939" s="35">
        <v>1960</v>
      </c>
      <c r="E939" s="75">
        <v>15.8918</v>
      </c>
      <c r="F939" s="75" t="s">
        <v>154</v>
      </c>
      <c r="G939" s="75" t="s">
        <v>154</v>
      </c>
      <c r="H939" s="75">
        <v>15.8919</v>
      </c>
      <c r="I939" s="70">
        <v>545.77</v>
      </c>
      <c r="J939" s="75">
        <v>15.89</v>
      </c>
      <c r="K939" s="70">
        <v>545.77</v>
      </c>
      <c r="L939" s="64">
        <f>J939/K939</f>
        <v>0.029114828590798322</v>
      </c>
      <c r="M939" s="36">
        <v>328.526</v>
      </c>
      <c r="N939" s="65">
        <f>L939*M939</f>
        <v>9.56497817762061</v>
      </c>
      <c r="O939" s="65">
        <f>L939*60*1000</f>
        <v>1746.8897154478993</v>
      </c>
      <c r="P939" s="66">
        <f>O939*M939/1000</f>
        <v>573.8986906572366</v>
      </c>
    </row>
    <row r="940" spans="1:16" ht="12.75" customHeight="1">
      <c r="A940" s="380"/>
      <c r="B940" s="67" t="s">
        <v>825</v>
      </c>
      <c r="C940" s="35">
        <v>3</v>
      </c>
      <c r="D940" s="35" t="s">
        <v>24</v>
      </c>
      <c r="E940" s="75">
        <v>5.16</v>
      </c>
      <c r="F940" s="75"/>
      <c r="G940" s="75"/>
      <c r="H940" s="75">
        <f>+E940-F940-G940</f>
        <v>5.16</v>
      </c>
      <c r="I940" s="233"/>
      <c r="J940" s="75">
        <f>+H940</f>
        <v>5.16</v>
      </c>
      <c r="K940" s="70">
        <v>177.12</v>
      </c>
      <c r="L940" s="64">
        <f>J940/K940</f>
        <v>0.029132791327913278</v>
      </c>
      <c r="M940" s="36">
        <v>343.2</v>
      </c>
      <c r="N940" s="65">
        <f>L940*M940</f>
        <v>9.998373983739837</v>
      </c>
      <c r="O940" s="65">
        <f>L940*60*1000</f>
        <v>1747.9674796747966</v>
      </c>
      <c r="P940" s="66">
        <f>O940*M940/1000</f>
        <v>599.9024390243902</v>
      </c>
    </row>
    <row r="941" spans="1:16" ht="12.75" customHeight="1">
      <c r="A941" s="380"/>
      <c r="B941" s="67" t="s">
        <v>956</v>
      </c>
      <c r="C941" s="35">
        <v>18</v>
      </c>
      <c r="D941" s="35">
        <v>1972</v>
      </c>
      <c r="E941" s="75">
        <v>27.812</v>
      </c>
      <c r="F941" s="75"/>
      <c r="G941" s="75"/>
      <c r="H941" s="75">
        <v>27.812</v>
      </c>
      <c r="I941" s="70">
        <v>952.97</v>
      </c>
      <c r="J941" s="75">
        <v>27.812</v>
      </c>
      <c r="K941" s="70">
        <v>952.97</v>
      </c>
      <c r="L941" s="64">
        <f>J941/K941</f>
        <v>0.029184549356223177</v>
      </c>
      <c r="M941" s="36">
        <v>201.868</v>
      </c>
      <c r="N941" s="65">
        <f>L941*M941</f>
        <v>5.89142660944206</v>
      </c>
      <c r="O941" s="65">
        <f>L941*60*1000</f>
        <v>1751.0729613733906</v>
      </c>
      <c r="P941" s="66">
        <f>O941*M941/1000</f>
        <v>353.4855965665236</v>
      </c>
    </row>
    <row r="942" spans="1:16" ht="12.75" customHeight="1">
      <c r="A942" s="380"/>
      <c r="B942" s="67" t="s">
        <v>983</v>
      </c>
      <c r="C942" s="35">
        <v>6</v>
      </c>
      <c r="D942" s="35">
        <v>1957</v>
      </c>
      <c r="E942" s="75">
        <v>10.04</v>
      </c>
      <c r="F942" s="75">
        <v>0.616</v>
      </c>
      <c r="G942" s="75">
        <v>0.08</v>
      </c>
      <c r="H942" s="75">
        <v>9.344</v>
      </c>
      <c r="I942" s="70">
        <v>319.78</v>
      </c>
      <c r="J942" s="75">
        <v>9.344</v>
      </c>
      <c r="K942" s="70">
        <v>319.78</v>
      </c>
      <c r="L942" s="64">
        <f>J942/K942</f>
        <v>0.0292200888110576</v>
      </c>
      <c r="M942" s="36">
        <v>298.987</v>
      </c>
      <c r="N942" s="65">
        <f>L942*M942</f>
        <v>8.73642669335168</v>
      </c>
      <c r="O942" s="65">
        <f>L942*60*1000</f>
        <v>1753.2053286634562</v>
      </c>
      <c r="P942" s="66">
        <f>O942*M942/1000</f>
        <v>524.1856016011009</v>
      </c>
    </row>
    <row r="943" spans="1:16" ht="12.75" customHeight="1">
      <c r="A943" s="380"/>
      <c r="B943" s="256" t="s">
        <v>936</v>
      </c>
      <c r="C943" s="35">
        <v>12</v>
      </c>
      <c r="D943" s="35">
        <v>1985</v>
      </c>
      <c r="E943" s="251">
        <f>F943+G943+H943</f>
        <v>20.6</v>
      </c>
      <c r="F943" s="251">
        <v>1.83</v>
      </c>
      <c r="G943" s="251">
        <v>1.92</v>
      </c>
      <c r="H943" s="251">
        <v>16.85</v>
      </c>
      <c r="I943" s="252">
        <v>704.64</v>
      </c>
      <c r="J943" s="251">
        <f>E943</f>
        <v>20.6</v>
      </c>
      <c r="K943" s="252">
        <v>704.64</v>
      </c>
      <c r="L943" s="253">
        <f>J943/K943</f>
        <v>0.029234786557674843</v>
      </c>
      <c r="M943" s="258">
        <v>244.38</v>
      </c>
      <c r="N943" s="254">
        <f>L943*M943</f>
        <v>7.144397138964578</v>
      </c>
      <c r="O943" s="254">
        <f>L943*60*1000</f>
        <v>1754.0871934604904</v>
      </c>
      <c r="P943" s="255">
        <f>O943*M943/1000</f>
        <v>428.6638283378747</v>
      </c>
    </row>
    <row r="944" spans="1:16" ht="12.75" customHeight="1">
      <c r="A944" s="380"/>
      <c r="B944" s="46" t="s">
        <v>152</v>
      </c>
      <c r="C944" s="25">
        <v>12</v>
      </c>
      <c r="D944" s="25">
        <v>1968</v>
      </c>
      <c r="E944" s="76">
        <f>SUM(F944:H944)</f>
        <v>21.913</v>
      </c>
      <c r="F944" s="76">
        <v>0.4296</v>
      </c>
      <c r="G944" s="76">
        <v>0.25</v>
      </c>
      <c r="H944" s="76">
        <v>21.2334</v>
      </c>
      <c r="I944" s="38">
        <v>725.5</v>
      </c>
      <c r="J944" s="76">
        <v>21.2334</v>
      </c>
      <c r="K944" s="38">
        <v>725.5</v>
      </c>
      <c r="L944" s="47">
        <f>J944/K944</f>
        <v>0.02926726395589249</v>
      </c>
      <c r="M944" s="30">
        <v>285.3</v>
      </c>
      <c r="N944" s="30">
        <f>L944*M944*1.09</f>
        <v>9.10144594321158</v>
      </c>
      <c r="O944" s="30">
        <f>L944*60*1000</f>
        <v>1756.0358373535494</v>
      </c>
      <c r="P944" s="48">
        <v>546.0867565926948</v>
      </c>
    </row>
    <row r="945" spans="1:16" ht="12.75" customHeight="1">
      <c r="A945" s="380"/>
      <c r="B945" s="109" t="s">
        <v>620</v>
      </c>
      <c r="C945" s="35">
        <v>9</v>
      </c>
      <c r="D945" s="35">
        <v>1925</v>
      </c>
      <c r="E945" s="75">
        <v>20.055</v>
      </c>
      <c r="F945" s="75"/>
      <c r="G945" s="75"/>
      <c r="H945" s="75">
        <f>E945-F945-G945</f>
        <v>20.055</v>
      </c>
      <c r="I945" s="36">
        <v>684.97</v>
      </c>
      <c r="J945" s="75">
        <v>8.334</v>
      </c>
      <c r="K945" s="36">
        <v>284.64</v>
      </c>
      <c r="L945" s="64">
        <f>J945/K945</f>
        <v>0.029279089376053963</v>
      </c>
      <c r="M945" s="36">
        <v>302.3</v>
      </c>
      <c r="N945" s="65">
        <f>L945*M945</f>
        <v>8.851068718381114</v>
      </c>
      <c r="O945" s="65">
        <f>L945*60*1000</f>
        <v>1756.745362563238</v>
      </c>
      <c r="P945" s="66">
        <f>O945*M945/1000</f>
        <v>531.0641231028668</v>
      </c>
    </row>
    <row r="946" spans="1:16" ht="13.5" customHeight="1">
      <c r="A946" s="380"/>
      <c r="B946" s="256" t="s">
        <v>937</v>
      </c>
      <c r="C946" s="35">
        <v>7</v>
      </c>
      <c r="D946" s="35"/>
      <c r="E946" s="251">
        <f>F946+G946+H946</f>
        <v>11.100000000000001</v>
      </c>
      <c r="F946" s="251">
        <v>0.13</v>
      </c>
      <c r="G946" s="251">
        <v>0</v>
      </c>
      <c r="H946" s="251">
        <v>10.97</v>
      </c>
      <c r="I946" s="252">
        <v>379.07</v>
      </c>
      <c r="J946" s="251">
        <f>E946</f>
        <v>11.100000000000001</v>
      </c>
      <c r="K946" s="252">
        <v>379.07</v>
      </c>
      <c r="L946" s="253">
        <f>J946/K946</f>
        <v>0.029282190624422933</v>
      </c>
      <c r="M946" s="258">
        <v>244.38</v>
      </c>
      <c r="N946" s="254">
        <f>L946*M946</f>
        <v>7.155981744796477</v>
      </c>
      <c r="O946" s="254">
        <f>L946*60*1000</f>
        <v>1756.931437465376</v>
      </c>
      <c r="P946" s="255">
        <f>O946*M946/1000</f>
        <v>429.3589046877886</v>
      </c>
    </row>
    <row r="947" spans="1:16" ht="12.75" customHeight="1">
      <c r="A947" s="380"/>
      <c r="B947" s="46" t="s">
        <v>171</v>
      </c>
      <c r="C947" s="25">
        <v>9</v>
      </c>
      <c r="D947" s="25">
        <v>1961</v>
      </c>
      <c r="E947" s="76">
        <v>11.5</v>
      </c>
      <c r="F947" s="76"/>
      <c r="G947" s="76"/>
      <c r="H947" s="76">
        <f>E947-F947-G947</f>
        <v>11.5</v>
      </c>
      <c r="I947" s="38">
        <v>391.38</v>
      </c>
      <c r="J947" s="76">
        <v>11.5</v>
      </c>
      <c r="K947" s="38">
        <v>391.38</v>
      </c>
      <c r="L947" s="47">
        <f>J947/K947</f>
        <v>0.02938320813531606</v>
      </c>
      <c r="M947" s="30">
        <v>264.761</v>
      </c>
      <c r="N947" s="30">
        <f>L947*M947</f>
        <v>7.779527569114417</v>
      </c>
      <c r="O947" s="30">
        <f>L947*1000*60</f>
        <v>1762.9924881189636</v>
      </c>
      <c r="P947" s="48">
        <f>N947*60</f>
        <v>466.771654146865</v>
      </c>
    </row>
    <row r="948" spans="1:16" ht="12.75" customHeight="1">
      <c r="A948" s="380"/>
      <c r="B948" s="67" t="s">
        <v>596</v>
      </c>
      <c r="C948" s="35">
        <v>4</v>
      </c>
      <c r="D948" s="35">
        <v>1957</v>
      </c>
      <c r="E948" s="75">
        <v>4.52</v>
      </c>
      <c r="F948" s="75">
        <v>0.379</v>
      </c>
      <c r="G948" s="75">
        <v>0</v>
      </c>
      <c r="H948" s="75">
        <f>E948-F948-G948</f>
        <v>4.141</v>
      </c>
      <c r="I948" s="70">
        <v>140.92</v>
      </c>
      <c r="J948" s="75">
        <f>H948</f>
        <v>4.141</v>
      </c>
      <c r="K948" s="70">
        <f>I948</f>
        <v>140.92</v>
      </c>
      <c r="L948" s="64">
        <f>J948/K948</f>
        <v>0.029385466931592396</v>
      </c>
      <c r="M948" s="36">
        <v>279.5</v>
      </c>
      <c r="N948" s="65">
        <f>L948*M948</f>
        <v>8.213238007380074</v>
      </c>
      <c r="O948" s="65">
        <f>L948*60*1000</f>
        <v>1763.1280158955437</v>
      </c>
      <c r="P948" s="66">
        <f>O948*M948/1000</f>
        <v>492.79428044280445</v>
      </c>
    </row>
    <row r="949" spans="1:16" ht="12.75" customHeight="1">
      <c r="A949" s="380"/>
      <c r="B949" s="46" t="s">
        <v>170</v>
      </c>
      <c r="C949" s="25">
        <v>8</v>
      </c>
      <c r="D949" s="25">
        <v>1976</v>
      </c>
      <c r="E949" s="76">
        <v>11.9</v>
      </c>
      <c r="F949" s="76"/>
      <c r="G949" s="76"/>
      <c r="H949" s="76">
        <f>E949-F949-G949</f>
        <v>11.9</v>
      </c>
      <c r="I949" s="38">
        <v>404.24</v>
      </c>
      <c r="J949" s="76">
        <v>11.9</v>
      </c>
      <c r="K949" s="38">
        <v>404.24</v>
      </c>
      <c r="L949" s="47">
        <f>J949/K949</f>
        <v>0.029437957648921435</v>
      </c>
      <c r="M949" s="30">
        <v>264.761</v>
      </c>
      <c r="N949" s="30">
        <f>L949*M949</f>
        <v>7.794023105086088</v>
      </c>
      <c r="O949" s="30">
        <f>L949*1000*60</f>
        <v>1766.277458935286</v>
      </c>
      <c r="P949" s="48">
        <f>N949*60</f>
        <v>467.6413863051653</v>
      </c>
    </row>
    <row r="950" spans="1:16" ht="12.75" customHeight="1">
      <c r="A950" s="380"/>
      <c r="B950" s="67" t="s">
        <v>297</v>
      </c>
      <c r="C950" s="35">
        <v>18</v>
      </c>
      <c r="D950" s="35">
        <v>1961</v>
      </c>
      <c r="E950" s="75">
        <v>27.442</v>
      </c>
      <c r="F950" s="75">
        <v>1.071</v>
      </c>
      <c r="G950" s="75">
        <v>0.21</v>
      </c>
      <c r="H950" s="75">
        <v>26.161</v>
      </c>
      <c r="I950" s="70">
        <v>887.64</v>
      </c>
      <c r="J950" s="75">
        <v>20.43</v>
      </c>
      <c r="K950" s="70">
        <v>693.34</v>
      </c>
      <c r="L950" s="64">
        <f>J950/K950</f>
        <v>0.029466062826318976</v>
      </c>
      <c r="M950" s="36">
        <v>338.118</v>
      </c>
      <c r="N950" s="65">
        <f>L950*M950</f>
        <v>9.96300623070932</v>
      </c>
      <c r="O950" s="65">
        <f>L950*60*1000</f>
        <v>1767.9637695791387</v>
      </c>
      <c r="P950" s="66">
        <f>O950*M950/1000</f>
        <v>597.7803738425591</v>
      </c>
    </row>
    <row r="951" spans="1:16" ht="12.75" customHeight="1">
      <c r="A951" s="380"/>
      <c r="B951" s="67" t="s">
        <v>887</v>
      </c>
      <c r="C951" s="35">
        <v>8</v>
      </c>
      <c r="D951" s="35" t="s">
        <v>156</v>
      </c>
      <c r="E951" s="233">
        <f>+F951+G951+H951</f>
        <v>13.016744</v>
      </c>
      <c r="F951" s="75">
        <v>0</v>
      </c>
      <c r="G951" s="75">
        <v>0</v>
      </c>
      <c r="H951" s="75">
        <v>13.016744</v>
      </c>
      <c r="I951" s="70">
        <v>440.76</v>
      </c>
      <c r="J951" s="75">
        <v>13.016744</v>
      </c>
      <c r="K951" s="70">
        <v>440.76</v>
      </c>
      <c r="L951" s="64">
        <f>J951/K951</f>
        <v>0.029532498411834102</v>
      </c>
      <c r="M951" s="36">
        <v>279.803</v>
      </c>
      <c r="N951" s="65">
        <f>L951*M951</f>
        <v>8.263281653126418</v>
      </c>
      <c r="O951" s="65">
        <f>L951*60*1000</f>
        <v>1771.9499047100462</v>
      </c>
      <c r="P951" s="66">
        <f>O951*M951/1000</f>
        <v>495.79689918758504</v>
      </c>
    </row>
    <row r="952" spans="1:16" ht="12.75" customHeight="1">
      <c r="A952" s="380"/>
      <c r="B952" s="67" t="s">
        <v>407</v>
      </c>
      <c r="C952" s="35">
        <v>24</v>
      </c>
      <c r="D952" s="35" t="s">
        <v>156</v>
      </c>
      <c r="E952" s="233">
        <f>+F952+G952+H952</f>
        <v>35.470352</v>
      </c>
      <c r="F952" s="75">
        <v>2.102844</v>
      </c>
      <c r="G952" s="75">
        <v>1.66</v>
      </c>
      <c r="H952" s="75">
        <v>31.707508</v>
      </c>
      <c r="I952" s="70">
        <v>1071.29</v>
      </c>
      <c r="J952" s="75">
        <v>31.707508</v>
      </c>
      <c r="K952" s="70">
        <v>1071.29</v>
      </c>
      <c r="L952" s="64">
        <f>J952/K952</f>
        <v>0.029597502076935286</v>
      </c>
      <c r="M952" s="36">
        <v>279.803</v>
      </c>
      <c r="N952" s="65">
        <f>L952*M952</f>
        <v>8.281469873632723</v>
      </c>
      <c r="O952" s="65">
        <f>L952*60*1000</f>
        <v>1775.8501246161172</v>
      </c>
      <c r="P952" s="66">
        <f>O952*M952/1000</f>
        <v>496.88819241796347</v>
      </c>
    </row>
    <row r="953" spans="1:16" ht="12.75" customHeight="1">
      <c r="A953" s="380"/>
      <c r="B953" s="67" t="s">
        <v>558</v>
      </c>
      <c r="C953" s="35">
        <v>24</v>
      </c>
      <c r="D953" s="35" t="s">
        <v>156</v>
      </c>
      <c r="E953" s="233">
        <f>+F953+G953+H953</f>
        <v>34.861284</v>
      </c>
      <c r="F953" s="75">
        <v>1.190388</v>
      </c>
      <c r="G953" s="75">
        <v>2.08</v>
      </c>
      <c r="H953" s="75">
        <v>31.590896</v>
      </c>
      <c r="I953" s="70">
        <v>1067.26</v>
      </c>
      <c r="J953" s="75">
        <v>31.590896</v>
      </c>
      <c r="K953" s="70">
        <v>1067.26</v>
      </c>
      <c r="L953" s="64">
        <f>J953/K953</f>
        <v>0.0296</v>
      </c>
      <c r="M953" s="36">
        <v>279.803</v>
      </c>
      <c r="N953" s="65">
        <f>L953*M953</f>
        <v>8.2821688</v>
      </c>
      <c r="O953" s="65">
        <f>L953*60*1000</f>
        <v>1776</v>
      </c>
      <c r="P953" s="66">
        <f>O953*M953/1000</f>
        <v>496.93012799999997</v>
      </c>
    </row>
    <row r="954" spans="1:16" ht="12.75" customHeight="1">
      <c r="A954" s="380"/>
      <c r="B954" s="67" t="s">
        <v>552</v>
      </c>
      <c r="C954" s="35">
        <v>24</v>
      </c>
      <c r="D954" s="35">
        <v>1962</v>
      </c>
      <c r="E954" s="75">
        <v>26.7</v>
      </c>
      <c r="F954" s="75"/>
      <c r="G954" s="75"/>
      <c r="H954" s="75">
        <v>26.7</v>
      </c>
      <c r="I954" s="70">
        <v>902</v>
      </c>
      <c r="J954" s="75">
        <v>26.7</v>
      </c>
      <c r="K954" s="70">
        <v>902</v>
      </c>
      <c r="L954" s="64">
        <f>J954/K954</f>
        <v>0.029600886917960086</v>
      </c>
      <c r="M954" s="36">
        <v>250.6</v>
      </c>
      <c r="N954" s="65">
        <f>L954*M954</f>
        <v>7.417982261640797</v>
      </c>
      <c r="O954" s="65">
        <f>L954*60*1000</f>
        <v>1776.0532150776053</v>
      </c>
      <c r="P954" s="66">
        <f>O954*M954/1000</f>
        <v>445.0789356984479</v>
      </c>
    </row>
    <row r="955" spans="1:16" ht="12.75" customHeight="1">
      <c r="A955" s="380"/>
      <c r="B955" s="67" t="s">
        <v>550</v>
      </c>
      <c r="C955" s="35">
        <v>4</v>
      </c>
      <c r="D955" s="35">
        <v>1892</v>
      </c>
      <c r="E955" s="75">
        <v>7</v>
      </c>
      <c r="F955" s="75">
        <v>0.3</v>
      </c>
      <c r="G955" s="75">
        <v>0.6</v>
      </c>
      <c r="H955" s="75">
        <v>6.1</v>
      </c>
      <c r="I955" s="70">
        <v>206</v>
      </c>
      <c r="J955" s="75">
        <v>6.1</v>
      </c>
      <c r="K955" s="70">
        <v>206</v>
      </c>
      <c r="L955" s="64">
        <f>J955/K955</f>
        <v>0.029611650485436892</v>
      </c>
      <c r="M955" s="36">
        <v>250.6</v>
      </c>
      <c r="N955" s="65">
        <f>L955*M955</f>
        <v>7.420679611650485</v>
      </c>
      <c r="O955" s="65">
        <f>L955*60*1000</f>
        <v>1776.6990291262134</v>
      </c>
      <c r="P955" s="66">
        <f>O955*M955/1000</f>
        <v>445.2407766990291</v>
      </c>
    </row>
    <row r="956" spans="1:16" ht="12.75" customHeight="1">
      <c r="A956" s="380"/>
      <c r="B956" s="329" t="s">
        <v>994</v>
      </c>
      <c r="C956" s="334">
        <v>12</v>
      </c>
      <c r="D956" s="334">
        <v>1981</v>
      </c>
      <c r="E956" s="339">
        <v>19.1</v>
      </c>
      <c r="F956" s="339">
        <v>0.61</v>
      </c>
      <c r="G956" s="339">
        <v>1.92</v>
      </c>
      <c r="H956" s="339">
        <v>16.57</v>
      </c>
      <c r="I956" s="345">
        <v>558</v>
      </c>
      <c r="J956" s="339">
        <v>16.57</v>
      </c>
      <c r="K956" s="345">
        <v>558</v>
      </c>
      <c r="L956" s="350">
        <f>H956/K956</f>
        <v>0.029695340501792115</v>
      </c>
      <c r="M956" s="354">
        <v>228.46</v>
      </c>
      <c r="N956" s="354">
        <f>L956*M956</f>
        <v>6.784197491039427</v>
      </c>
      <c r="O956" s="354">
        <f>L956*60*1000</f>
        <v>1781.720430107527</v>
      </c>
      <c r="P956" s="364">
        <f>N956*60</f>
        <v>407.0518494623656</v>
      </c>
    </row>
    <row r="957" spans="1:16" ht="12.75" customHeight="1">
      <c r="A957" s="380"/>
      <c r="B957" s="46" t="s">
        <v>342</v>
      </c>
      <c r="C957" s="25">
        <v>8</v>
      </c>
      <c r="D957" s="25">
        <v>1958</v>
      </c>
      <c r="E957" s="76">
        <f>SUM(F957:H957)</f>
        <v>6.358201</v>
      </c>
      <c r="F957" s="76"/>
      <c r="G957" s="76"/>
      <c r="H957" s="76">
        <v>6.358201</v>
      </c>
      <c r="I957" s="38">
        <v>214.11</v>
      </c>
      <c r="J957" s="76">
        <v>4.2854</v>
      </c>
      <c r="K957" s="38">
        <v>144.31</v>
      </c>
      <c r="L957" s="47">
        <f>J957/K957</f>
        <v>0.029695793777285012</v>
      </c>
      <c r="M957" s="30">
        <v>285.3</v>
      </c>
      <c r="N957" s="30">
        <f>L957*M957*1.09</f>
        <v>9.234708861478763</v>
      </c>
      <c r="O957" s="30">
        <f>L957*60*1000</f>
        <v>1781.7476266371007</v>
      </c>
      <c r="P957" s="48">
        <v>554.0825316887258</v>
      </c>
    </row>
    <row r="958" spans="1:16" ht="13.5" customHeight="1">
      <c r="A958" s="380"/>
      <c r="B958" s="67" t="s">
        <v>117</v>
      </c>
      <c r="C958" s="35">
        <v>5</v>
      </c>
      <c r="D958" s="35">
        <v>1938</v>
      </c>
      <c r="E958" s="75">
        <v>4.834999</v>
      </c>
      <c r="F958" s="75">
        <v>0.255</v>
      </c>
      <c r="G958" s="75">
        <v>0.04</v>
      </c>
      <c r="H958" s="75">
        <v>4.539999</v>
      </c>
      <c r="I958" s="70">
        <v>152.85</v>
      </c>
      <c r="J958" s="75">
        <v>4.539999</v>
      </c>
      <c r="K958" s="70">
        <v>152.85</v>
      </c>
      <c r="L958" s="64">
        <v>0.029702</v>
      </c>
      <c r="M958" s="36">
        <v>277.1</v>
      </c>
      <c r="N958" s="65">
        <f>L958*M958*1.09</f>
        <v>8.971162378</v>
      </c>
      <c r="O958" s="65">
        <f>L958*60*1000</f>
        <v>1782.12</v>
      </c>
      <c r="P958" s="66">
        <f>M958*O958/1000</f>
        <v>493.825452</v>
      </c>
    </row>
    <row r="959" spans="1:16" ht="12.75" customHeight="1">
      <c r="A959" s="380"/>
      <c r="B959" s="189" t="s">
        <v>375</v>
      </c>
      <c r="C959" s="123">
        <v>6</v>
      </c>
      <c r="D959" s="123">
        <v>1936</v>
      </c>
      <c r="E959" s="95">
        <f>F959+G959+H959</f>
        <v>8.412</v>
      </c>
      <c r="F959" s="95">
        <v>0.431</v>
      </c>
      <c r="G959" s="95">
        <v>0.06</v>
      </c>
      <c r="H959" s="95">
        <v>7.921</v>
      </c>
      <c r="I959" s="165">
        <v>266.57</v>
      </c>
      <c r="J959" s="95">
        <f>H959</f>
        <v>7.921</v>
      </c>
      <c r="K959" s="165">
        <f>I959</f>
        <v>266.57</v>
      </c>
      <c r="L959" s="92">
        <f>J959/K959</f>
        <v>0.029714521514048846</v>
      </c>
      <c r="M959" s="96">
        <v>206.9</v>
      </c>
      <c r="N959" s="93">
        <f>L959*M959</f>
        <v>6.147934501256707</v>
      </c>
      <c r="O959" s="93">
        <f>L959*60*1000</f>
        <v>1782.8712908429306</v>
      </c>
      <c r="P959" s="94">
        <f>O959*M959/1000</f>
        <v>368.87607007540237</v>
      </c>
    </row>
    <row r="960" spans="1:16" ht="13.5" customHeight="1">
      <c r="A960" s="380"/>
      <c r="B960" s="46" t="s">
        <v>399</v>
      </c>
      <c r="C960" s="25">
        <v>12</v>
      </c>
      <c r="D960" s="25">
        <v>1960</v>
      </c>
      <c r="E960" s="76">
        <f>SUM(F960+G960+H960)</f>
        <v>18.5</v>
      </c>
      <c r="F960" s="76">
        <v>0.7</v>
      </c>
      <c r="G960" s="76">
        <v>1.9</v>
      </c>
      <c r="H960" s="76">
        <v>15.9</v>
      </c>
      <c r="I960" s="38">
        <v>531.53</v>
      </c>
      <c r="J960" s="76">
        <v>14.6</v>
      </c>
      <c r="K960" s="38">
        <v>488.5</v>
      </c>
      <c r="L960" s="47">
        <f>SUM(J960/K960)</f>
        <v>0.029887410440122823</v>
      </c>
      <c r="M960" s="30">
        <v>215.8</v>
      </c>
      <c r="N960" s="30">
        <f>SUM(L960*M960)</f>
        <v>6.449703172978506</v>
      </c>
      <c r="O960" s="30">
        <f>L960*60*1000</f>
        <v>1793.2446264073694</v>
      </c>
      <c r="P960" s="48">
        <f>SUM(N960*60)</f>
        <v>386.98219037871036</v>
      </c>
    </row>
    <row r="961" spans="1:16" ht="12.75" customHeight="1">
      <c r="A961" s="380"/>
      <c r="B961" s="325" t="s">
        <v>182</v>
      </c>
      <c r="C961" s="331">
        <v>19</v>
      </c>
      <c r="D961" s="331">
        <v>1959</v>
      </c>
      <c r="E961" s="336">
        <v>32.04</v>
      </c>
      <c r="F961" s="336">
        <v>1.93</v>
      </c>
      <c r="G961" s="336"/>
      <c r="H961" s="336">
        <f>E961-F961-G961</f>
        <v>30.11</v>
      </c>
      <c r="I961" s="342">
        <v>1005.8</v>
      </c>
      <c r="J961" s="336">
        <f>H961/I961*K961</f>
        <v>30.115987273811893</v>
      </c>
      <c r="K961" s="331">
        <v>1006</v>
      </c>
      <c r="L961" s="347">
        <f>J961/K961</f>
        <v>0.02993636905945516</v>
      </c>
      <c r="M961" s="352">
        <f>294.4*1.09</f>
        <v>320.896</v>
      </c>
      <c r="N961" s="355">
        <f>L961*M961</f>
        <v>9.606461085702923</v>
      </c>
      <c r="O961" s="355">
        <f>L961*60*1000</f>
        <v>1796.1821435673096</v>
      </c>
      <c r="P961" s="361">
        <f>O961*M961/1000</f>
        <v>576.3876651421754</v>
      </c>
    </row>
    <row r="962" spans="1:16" ht="12.75" customHeight="1">
      <c r="A962" s="380"/>
      <c r="B962" s="46" t="s">
        <v>507</v>
      </c>
      <c r="C962" s="25">
        <v>19</v>
      </c>
      <c r="D962" s="25" t="s">
        <v>24</v>
      </c>
      <c r="E962" s="76">
        <f>SUM(F962:H962)</f>
        <v>20.59</v>
      </c>
      <c r="F962" s="76">
        <v>0.46</v>
      </c>
      <c r="G962" s="76">
        <v>0.18</v>
      </c>
      <c r="H962" s="76">
        <v>19.95</v>
      </c>
      <c r="I962" s="38">
        <v>617.38</v>
      </c>
      <c r="J962" s="76">
        <v>14.22</v>
      </c>
      <c r="K962" s="38">
        <v>474.16</v>
      </c>
      <c r="L962" s="64">
        <f>J962/K962</f>
        <v>0.029989876834823688</v>
      </c>
      <c r="M962" s="36">
        <v>206.1</v>
      </c>
      <c r="N962" s="65">
        <f>L962*M962</f>
        <v>6.180913615657162</v>
      </c>
      <c r="O962" s="65">
        <f>L962*60*1000</f>
        <v>1799.3926100894214</v>
      </c>
      <c r="P962" s="66">
        <f>O962*M962/1000</f>
        <v>370.8548169394297</v>
      </c>
    </row>
    <row r="963" spans="1:16" ht="12.75" customHeight="1">
      <c r="A963" s="380"/>
      <c r="B963" s="217" t="s">
        <v>211</v>
      </c>
      <c r="C963" s="268">
        <v>5</v>
      </c>
      <c r="D963" s="218">
        <v>1961</v>
      </c>
      <c r="E963" s="219">
        <v>6.714238000000001</v>
      </c>
      <c r="F963" s="220">
        <v>0</v>
      </c>
      <c r="G963" s="220">
        <v>0</v>
      </c>
      <c r="H963" s="220">
        <v>6.714238000000001</v>
      </c>
      <c r="I963" s="221">
        <v>362.23</v>
      </c>
      <c r="J963" s="220">
        <v>6.714238000000001</v>
      </c>
      <c r="K963" s="221">
        <v>223.64000000000001</v>
      </c>
      <c r="L963" s="222">
        <v>0.030022527275979254</v>
      </c>
      <c r="M963" s="223">
        <v>314.574</v>
      </c>
      <c r="N963" s="224">
        <v>9.444306495313898</v>
      </c>
      <c r="O963" s="224">
        <v>1801.3516365587552</v>
      </c>
      <c r="P963" s="225">
        <v>566.6583897188339</v>
      </c>
    </row>
    <row r="964" spans="1:16" ht="12.75" customHeight="1">
      <c r="A964" s="380"/>
      <c r="B964" s="256" t="s">
        <v>938</v>
      </c>
      <c r="C964" s="35">
        <v>6</v>
      </c>
      <c r="D964" s="35">
        <v>1980</v>
      </c>
      <c r="E964" s="251">
        <f>F964+G964+H964</f>
        <v>9.77</v>
      </c>
      <c r="F964" s="251">
        <v>0.4</v>
      </c>
      <c r="G964" s="251">
        <v>0.96</v>
      </c>
      <c r="H964" s="251">
        <v>8.41</v>
      </c>
      <c r="I964" s="252">
        <v>323.84</v>
      </c>
      <c r="J964" s="251">
        <f>E964</f>
        <v>9.77</v>
      </c>
      <c r="K964" s="252">
        <v>323.84</v>
      </c>
      <c r="L964" s="253">
        <f>J964/K964</f>
        <v>0.030169219367588932</v>
      </c>
      <c r="M964" s="258">
        <v>244.38</v>
      </c>
      <c r="N964" s="254">
        <f>L964*M964</f>
        <v>7.372753829051383</v>
      </c>
      <c r="O964" s="254">
        <f>L964*60*1000</f>
        <v>1810.153162055336</v>
      </c>
      <c r="P964" s="255">
        <f>O964*M964/1000</f>
        <v>442.36522974308303</v>
      </c>
    </row>
    <row r="965" spans="1:16" ht="12.75" customHeight="1">
      <c r="A965" s="380"/>
      <c r="B965" s="256" t="s">
        <v>939</v>
      </c>
      <c r="C965" s="35">
        <v>12</v>
      </c>
      <c r="D965" s="35">
        <v>1980</v>
      </c>
      <c r="E965" s="251">
        <f>F965+G965+H965</f>
        <v>19.6</v>
      </c>
      <c r="F965" s="251">
        <v>1.5</v>
      </c>
      <c r="G965" s="251">
        <v>1.92</v>
      </c>
      <c r="H965" s="251">
        <v>16.18</v>
      </c>
      <c r="I965" s="252">
        <v>648.21</v>
      </c>
      <c r="J965" s="251">
        <f>E965</f>
        <v>19.6</v>
      </c>
      <c r="K965" s="252">
        <v>648.21</v>
      </c>
      <c r="L965" s="253">
        <f>J965/K965</f>
        <v>0.03023711451535768</v>
      </c>
      <c r="M965" s="258">
        <v>244.38</v>
      </c>
      <c r="N965" s="254">
        <f>L965*M965</f>
        <v>7.3893460452631095</v>
      </c>
      <c r="O965" s="254">
        <f>L965*60*1000</f>
        <v>1814.2268709214609</v>
      </c>
      <c r="P965" s="255">
        <f>O965*M965/1000</f>
        <v>443.36076271578656</v>
      </c>
    </row>
    <row r="966" spans="1:16" ht="12.75" customHeight="1">
      <c r="A966" s="380"/>
      <c r="B966" s="388" t="s">
        <v>957</v>
      </c>
      <c r="C966" s="123">
        <v>8</v>
      </c>
      <c r="D966" s="123">
        <v>1979</v>
      </c>
      <c r="E966" s="95">
        <v>12.235</v>
      </c>
      <c r="F966" s="95">
        <v>0.417</v>
      </c>
      <c r="G966" s="95">
        <v>0.08</v>
      </c>
      <c r="H966" s="95">
        <v>11.738</v>
      </c>
      <c r="I966" s="165">
        <v>388.12</v>
      </c>
      <c r="J966" s="95">
        <v>11.738</v>
      </c>
      <c r="K966" s="165">
        <v>388.12</v>
      </c>
      <c r="L966" s="92">
        <f>J966/K966</f>
        <v>0.03024322374523343</v>
      </c>
      <c r="M966" s="96">
        <v>201.868</v>
      </c>
      <c r="N966" s="357">
        <f>L966*M966</f>
        <v>6.105139091002782</v>
      </c>
      <c r="O966" s="357">
        <f>L966*60*1000</f>
        <v>1814.5934247140058</v>
      </c>
      <c r="P966" s="94">
        <f>O966*M966/1000</f>
        <v>366.30834546016695</v>
      </c>
    </row>
    <row r="967" spans="1:16" ht="12.75" customHeight="1">
      <c r="A967" s="380"/>
      <c r="B967" s="322" t="s">
        <v>554</v>
      </c>
      <c r="C967" s="35">
        <v>11</v>
      </c>
      <c r="D967" s="35">
        <v>1890</v>
      </c>
      <c r="E967" s="75">
        <v>9.6</v>
      </c>
      <c r="F967" s="75"/>
      <c r="G967" s="75"/>
      <c r="H967" s="75">
        <v>9.6</v>
      </c>
      <c r="I967" s="70">
        <v>314</v>
      </c>
      <c r="J967" s="75">
        <v>9.6</v>
      </c>
      <c r="K967" s="70">
        <v>314</v>
      </c>
      <c r="L967" s="64">
        <f>J967/K967</f>
        <v>0.030573248407643312</v>
      </c>
      <c r="M967" s="36">
        <v>250.6</v>
      </c>
      <c r="N967" s="65">
        <f>L967*M967</f>
        <v>7.661656050955414</v>
      </c>
      <c r="O967" s="357">
        <f>L967*60*1000</f>
        <v>1834.3949044585988</v>
      </c>
      <c r="P967" s="66">
        <f>O967*M967/1000</f>
        <v>459.69936305732483</v>
      </c>
    </row>
    <row r="968" spans="1:16" ht="12.75" customHeight="1">
      <c r="A968" s="380"/>
      <c r="B968" s="322" t="s">
        <v>857</v>
      </c>
      <c r="C968" s="35">
        <v>12</v>
      </c>
      <c r="D968" s="35">
        <v>1958</v>
      </c>
      <c r="E968" s="75">
        <v>16.8</v>
      </c>
      <c r="F968" s="75">
        <v>0.623</v>
      </c>
      <c r="G968" s="75">
        <v>0.12</v>
      </c>
      <c r="H968" s="75">
        <v>16.057</v>
      </c>
      <c r="I968" s="118" t="s">
        <v>838</v>
      </c>
      <c r="J968" s="75">
        <v>16.057</v>
      </c>
      <c r="K968" s="70">
        <v>524.57</v>
      </c>
      <c r="L968" s="64">
        <f>J968/K968</f>
        <v>0.030609832815448837</v>
      </c>
      <c r="M968" s="36">
        <v>346.4</v>
      </c>
      <c r="N968" s="65">
        <f>L968*M968</f>
        <v>10.603246087271476</v>
      </c>
      <c r="O968" s="357">
        <f>L968*60*1000</f>
        <v>1836.5899689269302</v>
      </c>
      <c r="P968" s="66">
        <f>O968*M968/1000</f>
        <v>636.1947652362885</v>
      </c>
    </row>
    <row r="969" spans="1:16" ht="12.75" customHeight="1">
      <c r="A969" s="380"/>
      <c r="B969" s="323" t="s">
        <v>343</v>
      </c>
      <c r="C969" s="25">
        <v>17</v>
      </c>
      <c r="D969" s="25">
        <v>1968</v>
      </c>
      <c r="E969" s="76">
        <f>SUM(F969:H969)</f>
        <v>17.51</v>
      </c>
      <c r="F969" s="76"/>
      <c r="G969" s="76"/>
      <c r="H969" s="76">
        <v>17.51</v>
      </c>
      <c r="I969" s="38">
        <v>569.32</v>
      </c>
      <c r="J969" s="76">
        <v>17.51</v>
      </c>
      <c r="K969" s="38">
        <v>569.32</v>
      </c>
      <c r="L969" s="47">
        <f>J969/K969</f>
        <v>0.030755989601630014</v>
      </c>
      <c r="M969" s="30">
        <v>285.3</v>
      </c>
      <c r="N969" s="30">
        <f>L969*M969*1.09</f>
        <v>9.564405378346098</v>
      </c>
      <c r="O969" s="358">
        <f>L969*60*1000</f>
        <v>1845.3593760978008</v>
      </c>
      <c r="P969" s="48">
        <v>573.8643227007659</v>
      </c>
    </row>
    <row r="970" spans="1:16" ht="12.75" customHeight="1">
      <c r="A970" s="380"/>
      <c r="B970" s="323" t="s">
        <v>47</v>
      </c>
      <c r="C970" s="25">
        <v>4</v>
      </c>
      <c r="D970" s="25">
        <v>1963</v>
      </c>
      <c r="E970" s="76">
        <v>5.182</v>
      </c>
      <c r="F970" s="76">
        <v>0.48195</v>
      </c>
      <c r="G970" s="76">
        <v>0.04</v>
      </c>
      <c r="H970" s="76">
        <v>4.66005</v>
      </c>
      <c r="I970" s="38">
        <v>150.99</v>
      </c>
      <c r="J970" s="76">
        <v>4.660051</v>
      </c>
      <c r="K970" s="38">
        <v>150.99</v>
      </c>
      <c r="L970" s="47">
        <f>J970/K970</f>
        <v>0.03086330882839923</v>
      </c>
      <c r="M970" s="25">
        <v>298.66</v>
      </c>
      <c r="N970" s="30">
        <f>L970*M970</f>
        <v>9.217635814689714</v>
      </c>
      <c r="O970" s="358">
        <f>L970*60*1000</f>
        <v>1851.7985297039538</v>
      </c>
      <c r="P970" s="48">
        <f>O970*M970/1000</f>
        <v>553.0581488813829</v>
      </c>
    </row>
    <row r="971" spans="1:16" ht="12.75" customHeight="1">
      <c r="A971" s="380"/>
      <c r="B971" s="327" t="s">
        <v>940</v>
      </c>
      <c r="C971" s="35">
        <v>5</v>
      </c>
      <c r="D971" s="35"/>
      <c r="E971" s="251">
        <f>F971+G971+H971</f>
        <v>7.9</v>
      </c>
      <c r="F971" s="251">
        <v>0.26</v>
      </c>
      <c r="G971" s="251">
        <v>0.8</v>
      </c>
      <c r="H971" s="251">
        <v>6.84</v>
      </c>
      <c r="I971" s="252">
        <v>254.18</v>
      </c>
      <c r="J971" s="251">
        <f>E971</f>
        <v>7.9</v>
      </c>
      <c r="K971" s="252">
        <v>254.18</v>
      </c>
      <c r="L971" s="253">
        <f>J971/K971</f>
        <v>0.031080336769218665</v>
      </c>
      <c r="M971" s="258">
        <v>244.38</v>
      </c>
      <c r="N971" s="254">
        <f>L971*M971</f>
        <v>7.595412699661657</v>
      </c>
      <c r="O971" s="359">
        <f>L971*60*1000</f>
        <v>1864.82020615312</v>
      </c>
      <c r="P971" s="255">
        <f>O971*M971/1000</f>
        <v>455.72476197969945</v>
      </c>
    </row>
    <row r="972" spans="1:16" ht="12.75" customHeight="1">
      <c r="A972" s="380"/>
      <c r="B972" s="322" t="s">
        <v>888</v>
      </c>
      <c r="C972" s="35">
        <v>12</v>
      </c>
      <c r="D972" s="35" t="s">
        <v>156</v>
      </c>
      <c r="E972" s="233">
        <f>+F972+G972+H972</f>
        <v>17.840012</v>
      </c>
      <c r="F972" s="75">
        <v>0.529644</v>
      </c>
      <c r="G972" s="75">
        <v>0.39</v>
      </c>
      <c r="H972" s="75">
        <v>16.920368</v>
      </c>
      <c r="I972" s="70">
        <v>543.67</v>
      </c>
      <c r="J972" s="75">
        <v>16.920368</v>
      </c>
      <c r="K972" s="70">
        <v>543.67</v>
      </c>
      <c r="L972" s="64">
        <f>J972/K972</f>
        <v>0.031122497103022055</v>
      </c>
      <c r="M972" s="36">
        <v>279.803</v>
      </c>
      <c r="N972" s="65">
        <f>L972*M972</f>
        <v>8.70816805691688</v>
      </c>
      <c r="O972" s="357">
        <f>L972*60*1000</f>
        <v>1867.3498261813234</v>
      </c>
      <c r="P972" s="66">
        <f>O972*M972/1000</f>
        <v>522.4900834150128</v>
      </c>
    </row>
    <row r="973" spans="1:16" ht="12.75" customHeight="1">
      <c r="A973" s="380"/>
      <c r="B973" s="323" t="s">
        <v>172</v>
      </c>
      <c r="C973" s="25">
        <v>24</v>
      </c>
      <c r="D973" s="25">
        <v>1960</v>
      </c>
      <c r="E973" s="76">
        <v>28.5</v>
      </c>
      <c r="F973" s="76"/>
      <c r="G973" s="76"/>
      <c r="H973" s="76">
        <f>E973-F973-G973</f>
        <v>28.5</v>
      </c>
      <c r="I973" s="38">
        <v>914.41</v>
      </c>
      <c r="J973" s="76">
        <v>28.5</v>
      </c>
      <c r="K973" s="38">
        <v>914.41</v>
      </c>
      <c r="L973" s="47">
        <f>J973/K973</f>
        <v>0.031167638149189096</v>
      </c>
      <c r="M973" s="30">
        <v>264.761</v>
      </c>
      <c r="N973" s="30">
        <f>L973*M973</f>
        <v>8.251975044017454</v>
      </c>
      <c r="O973" s="358">
        <f>L973*1000*60</f>
        <v>1870.0582889513457</v>
      </c>
      <c r="P973" s="48">
        <f>N973*60</f>
        <v>495.11850264104726</v>
      </c>
    </row>
    <row r="974" spans="1:16" ht="12.75" customHeight="1">
      <c r="A974" s="380"/>
      <c r="B974" s="67" t="s">
        <v>325</v>
      </c>
      <c r="C974" s="35">
        <v>7</v>
      </c>
      <c r="D974" s="35">
        <v>1964</v>
      </c>
      <c r="E974" s="75">
        <f>F974+G974+H974</f>
        <v>9.29</v>
      </c>
      <c r="F974" s="75">
        <v>0</v>
      </c>
      <c r="G974" s="75">
        <v>0</v>
      </c>
      <c r="H974" s="75">
        <v>9.29</v>
      </c>
      <c r="I974" s="70">
        <v>1329.57</v>
      </c>
      <c r="J974" s="75">
        <v>9.29</v>
      </c>
      <c r="K974" s="70">
        <v>296.86</v>
      </c>
      <c r="L974" s="64">
        <f>J974/K974</f>
        <v>0.03129421276022367</v>
      </c>
      <c r="M974" s="36">
        <v>314.4</v>
      </c>
      <c r="N974" s="65">
        <f>L974*M974</f>
        <v>9.838900491814321</v>
      </c>
      <c r="O974" s="65">
        <f>L974*60*1000</f>
        <v>1877.6527656134203</v>
      </c>
      <c r="P974" s="66">
        <f>O974*M974/1000</f>
        <v>590.3340295088593</v>
      </c>
    </row>
    <row r="975" spans="1:16" ht="12.75" customHeight="1">
      <c r="A975" s="380"/>
      <c r="B975" s="46" t="s">
        <v>371</v>
      </c>
      <c r="C975" s="25">
        <v>24</v>
      </c>
      <c r="D975" s="25">
        <v>1961</v>
      </c>
      <c r="E975" s="76">
        <v>28.5</v>
      </c>
      <c r="F975" s="76"/>
      <c r="G975" s="76"/>
      <c r="H975" s="76">
        <f>E975-F975-G975</f>
        <v>28.5</v>
      </c>
      <c r="I975" s="38">
        <v>909.58</v>
      </c>
      <c r="J975" s="76">
        <v>28.5</v>
      </c>
      <c r="K975" s="38">
        <v>909.58</v>
      </c>
      <c r="L975" s="47">
        <f>J975/K975</f>
        <v>0.03133314276919017</v>
      </c>
      <c r="M975" s="30">
        <v>264.761</v>
      </c>
      <c r="N975" s="30">
        <f>L975*M975</f>
        <v>8.29579421271356</v>
      </c>
      <c r="O975" s="30">
        <f>L975*1000*60</f>
        <v>1879.9885661514104</v>
      </c>
      <c r="P975" s="48">
        <f>N975*60</f>
        <v>497.7476527628136</v>
      </c>
    </row>
    <row r="976" spans="1:16" ht="12.75" customHeight="1">
      <c r="A976" s="380"/>
      <c r="B976" s="67" t="s">
        <v>889</v>
      </c>
      <c r="C976" s="35">
        <v>8</v>
      </c>
      <c r="D976" s="35" t="s">
        <v>156</v>
      </c>
      <c r="E976" s="233">
        <f>+F976+G976+H976</f>
        <v>11.020154</v>
      </c>
      <c r="F976" s="75">
        <v>0</v>
      </c>
      <c r="G976" s="75">
        <v>0</v>
      </c>
      <c r="H976" s="75">
        <v>11.020154</v>
      </c>
      <c r="I976" s="70">
        <v>351.52</v>
      </c>
      <c r="J976" s="75">
        <v>11.020154</v>
      </c>
      <c r="K976" s="70">
        <v>351.52</v>
      </c>
      <c r="L976" s="64">
        <f>J976/K976</f>
        <v>0.031350005689576695</v>
      </c>
      <c r="M976" s="36">
        <v>279.803</v>
      </c>
      <c r="N976" s="65">
        <f>L976*M976</f>
        <v>8.771825641960628</v>
      </c>
      <c r="O976" s="65">
        <f>L976*60*1000</f>
        <v>1881.0003413746017</v>
      </c>
      <c r="P976" s="66">
        <f>O976*M976/1000</f>
        <v>526.3095385176376</v>
      </c>
    </row>
    <row r="977" spans="1:16" ht="12.75" customHeight="1">
      <c r="A977" s="380"/>
      <c r="B977" s="46" t="s">
        <v>344</v>
      </c>
      <c r="C977" s="25">
        <v>4</v>
      </c>
      <c r="D977" s="25">
        <v>1961</v>
      </c>
      <c r="E977" s="76">
        <f>SUM(F977:H977)</f>
        <v>3.78</v>
      </c>
      <c r="F977" s="76"/>
      <c r="G977" s="76"/>
      <c r="H977" s="76">
        <v>3.78</v>
      </c>
      <c r="I977" s="38">
        <v>120.27</v>
      </c>
      <c r="J977" s="76">
        <v>3.78</v>
      </c>
      <c r="K977" s="38">
        <v>120.27</v>
      </c>
      <c r="L977" s="47">
        <f>J977/K977</f>
        <v>0.03142928411075081</v>
      </c>
      <c r="M977" s="30">
        <v>285.3</v>
      </c>
      <c r="N977" s="30">
        <f>L977*M977*1.09</f>
        <v>9.773784484908957</v>
      </c>
      <c r="O977" s="30">
        <f>L977*60*1000</f>
        <v>1885.7570466450488</v>
      </c>
      <c r="P977" s="48">
        <v>586.4270690945374</v>
      </c>
    </row>
    <row r="978" spans="1:16" ht="12.75" customHeight="1">
      <c r="A978" s="380"/>
      <c r="B978" s="46" t="s">
        <v>173</v>
      </c>
      <c r="C978" s="25">
        <v>16</v>
      </c>
      <c r="D978" s="25">
        <v>1964</v>
      </c>
      <c r="E978" s="76">
        <v>19.2</v>
      </c>
      <c r="F978" s="76"/>
      <c r="G978" s="76"/>
      <c r="H978" s="76">
        <f>E978-F978-G978</f>
        <v>19.2</v>
      </c>
      <c r="I978" s="38">
        <v>606.77</v>
      </c>
      <c r="J978" s="76">
        <v>19.2</v>
      </c>
      <c r="K978" s="38">
        <v>606.77</v>
      </c>
      <c r="L978" s="47">
        <f>J978/K978</f>
        <v>0.03164296191308074</v>
      </c>
      <c r="M978" s="30">
        <v>264.761</v>
      </c>
      <c r="N978" s="30">
        <f>L978*M978</f>
        <v>8.37782223906917</v>
      </c>
      <c r="O978" s="30">
        <f>L978*1000*60</f>
        <v>1898.5777147848444</v>
      </c>
      <c r="P978" s="48">
        <f>N978*60</f>
        <v>502.6693343441502</v>
      </c>
    </row>
    <row r="979" spans="1:16" ht="12.75" customHeight="1">
      <c r="A979" s="380"/>
      <c r="B979" s="46" t="s">
        <v>995</v>
      </c>
      <c r="C979" s="25">
        <v>6</v>
      </c>
      <c r="D979" s="25">
        <v>1984</v>
      </c>
      <c r="E979" s="76">
        <v>10.1</v>
      </c>
      <c r="F979" s="76">
        <v>0.204</v>
      </c>
      <c r="G979" s="76">
        <v>0.96</v>
      </c>
      <c r="H979" s="76">
        <v>8.928</v>
      </c>
      <c r="I979" s="38">
        <v>281</v>
      </c>
      <c r="J979" s="76">
        <v>8.928</v>
      </c>
      <c r="K979" s="38">
        <v>281</v>
      </c>
      <c r="L979" s="47">
        <f>H979/K979</f>
        <v>0.03177224199288257</v>
      </c>
      <c r="M979" s="30">
        <v>228.46</v>
      </c>
      <c r="N979" s="30">
        <f>L979*M979</f>
        <v>7.258686405693951</v>
      </c>
      <c r="O979" s="30">
        <f>L979*60*1000</f>
        <v>1906.334519572954</v>
      </c>
      <c r="P979" s="48">
        <f>N979*60</f>
        <v>435.5211843416371</v>
      </c>
    </row>
    <row r="980" spans="1:16" ht="12.75" customHeight="1">
      <c r="A980" s="380"/>
      <c r="B980" s="46" t="s">
        <v>512</v>
      </c>
      <c r="C980" s="25">
        <v>4</v>
      </c>
      <c r="D980" s="25" t="s">
        <v>24</v>
      </c>
      <c r="E980" s="76">
        <f>SUM(F980:H980)</f>
        <v>7.64</v>
      </c>
      <c r="F980" s="76">
        <v>0.1</v>
      </c>
      <c r="G980" s="76">
        <v>0.04</v>
      </c>
      <c r="H980" s="76">
        <v>7.5</v>
      </c>
      <c r="I980" s="38">
        <v>220.46</v>
      </c>
      <c r="J980" s="76">
        <v>4.515</v>
      </c>
      <c r="K980" s="38">
        <v>141.88</v>
      </c>
      <c r="L980" s="64">
        <f>J980/K980</f>
        <v>0.03182266704257119</v>
      </c>
      <c r="M980" s="36">
        <v>206.1</v>
      </c>
      <c r="N980" s="65">
        <f>L980*M980</f>
        <v>6.558651677473922</v>
      </c>
      <c r="O980" s="65">
        <f>L980*60*1000</f>
        <v>1909.3600225542714</v>
      </c>
      <c r="P980" s="66">
        <f>O980*M980/1000</f>
        <v>393.5191006484353</v>
      </c>
    </row>
    <row r="981" spans="1:16" ht="12.75" customHeight="1">
      <c r="A981" s="380"/>
      <c r="B981" s="46" t="s">
        <v>178</v>
      </c>
      <c r="C981" s="25">
        <v>6</v>
      </c>
      <c r="D981" s="25">
        <v>1958</v>
      </c>
      <c r="E981" s="76">
        <v>10.295</v>
      </c>
      <c r="F981" s="76">
        <v>0.3213</v>
      </c>
      <c r="G981" s="76">
        <v>0.06</v>
      </c>
      <c r="H981" s="76">
        <v>9.9137</v>
      </c>
      <c r="I981" s="38">
        <v>310.34</v>
      </c>
      <c r="J981" s="76">
        <v>9.9137</v>
      </c>
      <c r="K981" s="38">
        <v>310.34</v>
      </c>
      <c r="L981" s="47">
        <f>J981/K981</f>
        <v>0.03194464136108784</v>
      </c>
      <c r="M981" s="25">
        <v>298.66</v>
      </c>
      <c r="N981" s="30">
        <f>L981*M981</f>
        <v>9.540586588902496</v>
      </c>
      <c r="O981" s="30">
        <f>L981*60*1000</f>
        <v>1916.6784816652707</v>
      </c>
      <c r="P981" s="48">
        <f>O981*M981/1000</f>
        <v>572.4351953341497</v>
      </c>
    </row>
    <row r="982" spans="1:16" ht="12.75" customHeight="1">
      <c r="A982" s="380"/>
      <c r="B982" s="109" t="s">
        <v>96</v>
      </c>
      <c r="C982" s="35">
        <v>6</v>
      </c>
      <c r="D982" s="35">
        <v>1955</v>
      </c>
      <c r="E982" s="75">
        <v>8.191</v>
      </c>
      <c r="F982" s="75">
        <v>0.153</v>
      </c>
      <c r="G982" s="75">
        <v>0.06</v>
      </c>
      <c r="H982" s="75">
        <f>E982-F982-G982</f>
        <v>7.978000000000001</v>
      </c>
      <c r="I982" s="36">
        <v>249.66</v>
      </c>
      <c r="J982" s="75">
        <v>6.598</v>
      </c>
      <c r="K982" s="36">
        <v>206.48</v>
      </c>
      <c r="L982" s="64">
        <f>J982/K982</f>
        <v>0.0319546687330492</v>
      </c>
      <c r="M982" s="36">
        <v>302.3</v>
      </c>
      <c r="N982" s="65">
        <f>L982*M982</f>
        <v>9.659896358000774</v>
      </c>
      <c r="O982" s="65">
        <f>L982*60*1000</f>
        <v>1917.2801239829523</v>
      </c>
      <c r="P982" s="66">
        <f>O982*M982/1000</f>
        <v>579.5937814800465</v>
      </c>
    </row>
    <row r="983" spans="1:16" ht="12.75" customHeight="1">
      <c r="A983" s="380"/>
      <c r="B983" s="46" t="s">
        <v>46</v>
      </c>
      <c r="C983" s="25">
        <v>7</v>
      </c>
      <c r="D983" s="25" t="s">
        <v>24</v>
      </c>
      <c r="E983" s="76">
        <v>12.086</v>
      </c>
      <c r="F983" s="76">
        <v>0.58905</v>
      </c>
      <c r="G983" s="76">
        <v>0</v>
      </c>
      <c r="H983" s="76">
        <v>11.49695</v>
      </c>
      <c r="I983" s="38">
        <v>355.81</v>
      </c>
      <c r="J983" s="76">
        <v>10.305927</v>
      </c>
      <c r="K983" s="38">
        <v>318.95</v>
      </c>
      <c r="L983" s="47">
        <f>J983/K983</f>
        <v>0.032312045775199874</v>
      </c>
      <c r="M983" s="25">
        <v>298.66</v>
      </c>
      <c r="N983" s="30">
        <f>L983*M983</f>
        <v>9.650315591221196</v>
      </c>
      <c r="O983" s="30">
        <f>L983*60*1000</f>
        <v>1938.7227465119925</v>
      </c>
      <c r="P983" s="48">
        <f>O983*M983/1000</f>
        <v>579.0189354732718</v>
      </c>
    </row>
    <row r="984" spans="1:16" ht="12.75" customHeight="1">
      <c r="A984" s="380"/>
      <c r="B984" s="67" t="s">
        <v>175</v>
      </c>
      <c r="C984" s="35">
        <v>7</v>
      </c>
      <c r="D984" s="35" t="s">
        <v>24</v>
      </c>
      <c r="E984" s="75">
        <f>F984+G984+H984</f>
        <v>13.386</v>
      </c>
      <c r="F984" s="75">
        <v>0.297</v>
      </c>
      <c r="G984" s="75">
        <v>1.28</v>
      </c>
      <c r="H984" s="75">
        <v>11.809</v>
      </c>
      <c r="I984" s="70">
        <v>364.99</v>
      </c>
      <c r="J984" s="75">
        <v>10.229</v>
      </c>
      <c r="K984" s="70">
        <v>316.21</v>
      </c>
      <c r="L984" s="64">
        <f>J984/K984</f>
        <v>0.03234875557382752</v>
      </c>
      <c r="M984" s="35">
        <v>351.85</v>
      </c>
      <c r="N984" s="65">
        <f>L984*M984</f>
        <v>11.381909648651213</v>
      </c>
      <c r="O984" s="65">
        <f>L984*60*1000</f>
        <v>1940.925334429651</v>
      </c>
      <c r="P984" s="66">
        <f>O984*M984/1000</f>
        <v>682.9145789190727</v>
      </c>
    </row>
    <row r="985" spans="1:16" ht="12.75" customHeight="1">
      <c r="A985" s="380"/>
      <c r="B985" s="67" t="s">
        <v>294</v>
      </c>
      <c r="C985" s="35">
        <v>15</v>
      </c>
      <c r="D985" s="35">
        <v>1969</v>
      </c>
      <c r="E985" s="75">
        <v>21.075</v>
      </c>
      <c r="F985" s="75">
        <v>0.867</v>
      </c>
      <c r="G985" s="75">
        <v>0.15</v>
      </c>
      <c r="H985" s="75">
        <v>20.058</v>
      </c>
      <c r="I985" s="70">
        <v>617.45</v>
      </c>
      <c r="J985" s="75">
        <v>18.27</v>
      </c>
      <c r="K985" s="70">
        <v>562.44</v>
      </c>
      <c r="L985" s="64">
        <f>J985/K985</f>
        <v>0.032483464902922976</v>
      </c>
      <c r="M985" s="36">
        <v>338.118</v>
      </c>
      <c r="N985" s="65">
        <f>L985*M985</f>
        <v>10.98324418604651</v>
      </c>
      <c r="O985" s="65">
        <f>L985*60*1000</f>
        <v>1949.0078941753786</v>
      </c>
      <c r="P985" s="66">
        <f>O985*M985/1000</f>
        <v>658.9946511627907</v>
      </c>
    </row>
    <row r="986" spans="1:16" ht="12.75" customHeight="1">
      <c r="A986" s="380"/>
      <c r="B986" s="67" t="s">
        <v>559</v>
      </c>
      <c r="C986" s="35">
        <v>8</v>
      </c>
      <c r="D986" s="35" t="s">
        <v>156</v>
      </c>
      <c r="E986" s="233">
        <f>+F986+G986+H986</f>
        <v>12.702065000000001</v>
      </c>
      <c r="F986" s="75">
        <v>0.2782</v>
      </c>
      <c r="G986" s="75">
        <v>0.88</v>
      </c>
      <c r="H986" s="75">
        <v>11.543865</v>
      </c>
      <c r="I986" s="70">
        <v>347.21</v>
      </c>
      <c r="J986" s="75">
        <v>11.543865</v>
      </c>
      <c r="K986" s="70">
        <v>347.21</v>
      </c>
      <c r="L986" s="64">
        <f>J986/K986</f>
        <v>0.033247501512053225</v>
      </c>
      <c r="M986" s="36">
        <v>279.803</v>
      </c>
      <c r="N986" s="65">
        <f>L986*M986</f>
        <v>9.302750665577028</v>
      </c>
      <c r="O986" s="65">
        <f>L986*60*1000</f>
        <v>1994.8500907231935</v>
      </c>
      <c r="P986" s="66">
        <f>O986*M986/1000</f>
        <v>558.1650399346216</v>
      </c>
    </row>
    <row r="987" spans="1:16" ht="12.75" customHeight="1">
      <c r="A987" s="380"/>
      <c r="B987" s="46" t="s">
        <v>509</v>
      </c>
      <c r="C987" s="25">
        <v>4</v>
      </c>
      <c r="D987" s="25" t="s">
        <v>24</v>
      </c>
      <c r="E987" s="76">
        <f>SUM(F987:H987)</f>
        <v>5.215</v>
      </c>
      <c r="F987" s="76">
        <v>0.1</v>
      </c>
      <c r="G987" s="76">
        <v>0.04</v>
      </c>
      <c r="H987" s="76">
        <v>5.075</v>
      </c>
      <c r="I987" s="38">
        <v>152.25</v>
      </c>
      <c r="J987" s="76">
        <v>5.075</v>
      </c>
      <c r="K987" s="38">
        <v>152.25</v>
      </c>
      <c r="L987" s="64">
        <f>J987/K987</f>
        <v>0.03333333333333333</v>
      </c>
      <c r="M987" s="36">
        <v>206.1</v>
      </c>
      <c r="N987" s="65">
        <f>L987*M987</f>
        <v>6.87</v>
      </c>
      <c r="O987" s="65">
        <f>L987*60*1000</f>
        <v>2000</v>
      </c>
      <c r="P987" s="66">
        <f>O987*M987/1000</f>
        <v>412.2</v>
      </c>
    </row>
    <row r="988" spans="1:16" ht="12.75" customHeight="1">
      <c r="A988" s="380"/>
      <c r="B988" s="67" t="s">
        <v>597</v>
      </c>
      <c r="C988" s="35">
        <v>15</v>
      </c>
      <c r="D988" s="35">
        <v>1978</v>
      </c>
      <c r="E988" s="75">
        <v>34.4</v>
      </c>
      <c r="F988" s="75">
        <v>2.34816</v>
      </c>
      <c r="G988" s="75">
        <v>0.13</v>
      </c>
      <c r="H988" s="75">
        <f>E988-F988-G988</f>
        <v>31.92184</v>
      </c>
      <c r="I988" s="70">
        <v>946.44</v>
      </c>
      <c r="J988" s="75">
        <f>H988</f>
        <v>31.92184</v>
      </c>
      <c r="K988" s="70">
        <f>I988</f>
        <v>946.44</v>
      </c>
      <c r="L988" s="64">
        <f>J988/K988</f>
        <v>0.033728329318287474</v>
      </c>
      <c r="M988" s="36">
        <v>279.5</v>
      </c>
      <c r="N988" s="65">
        <f>L988*M988</f>
        <v>9.427068044461349</v>
      </c>
      <c r="O988" s="65">
        <f>L988*60*1000</f>
        <v>2023.6997590972483</v>
      </c>
      <c r="P988" s="66">
        <f>O988*M988/1000</f>
        <v>565.6240826676809</v>
      </c>
    </row>
    <row r="989" spans="1:16" ht="12.75" customHeight="1">
      <c r="A989" s="380"/>
      <c r="B989" s="46" t="s">
        <v>151</v>
      </c>
      <c r="C989" s="25">
        <v>5</v>
      </c>
      <c r="D989" s="25">
        <v>1961</v>
      </c>
      <c r="E989" s="76">
        <f>SUM(F989:H989)</f>
        <v>6.29</v>
      </c>
      <c r="F989" s="76"/>
      <c r="G989" s="76"/>
      <c r="H989" s="76">
        <v>6.29</v>
      </c>
      <c r="I989" s="38">
        <v>186.3</v>
      </c>
      <c r="J989" s="76">
        <v>6.29</v>
      </c>
      <c r="K989" s="38">
        <v>186.3</v>
      </c>
      <c r="L989" s="47">
        <f>J989/K989</f>
        <v>0.03376274825550188</v>
      </c>
      <c r="M989" s="30">
        <v>285.3</v>
      </c>
      <c r="N989" s="30">
        <f>L989*M989*1.09</f>
        <v>10.49943816425121</v>
      </c>
      <c r="O989" s="30">
        <f>L989*60*1000</f>
        <v>2025.7648953301127</v>
      </c>
      <c r="P989" s="48">
        <v>629.9662898550725</v>
      </c>
    </row>
    <row r="990" spans="1:16" ht="12.75" customHeight="1">
      <c r="A990" s="380"/>
      <c r="B990" s="67" t="s">
        <v>984</v>
      </c>
      <c r="C990" s="35">
        <v>2</v>
      </c>
      <c r="D990" s="35">
        <v>1950</v>
      </c>
      <c r="E990" s="75">
        <v>3.466</v>
      </c>
      <c r="F990" s="75"/>
      <c r="G990" s="75"/>
      <c r="H990" s="75">
        <v>3.466</v>
      </c>
      <c r="I990" s="70">
        <v>126.73</v>
      </c>
      <c r="J990" s="75">
        <v>2.224</v>
      </c>
      <c r="K990" s="70">
        <v>65.63</v>
      </c>
      <c r="L990" s="64">
        <f>J990/K990</f>
        <v>0.03388694194728021</v>
      </c>
      <c r="M990" s="36">
        <v>298.987</v>
      </c>
      <c r="N990" s="65">
        <f>L990*M990</f>
        <v>10.131755111991469</v>
      </c>
      <c r="O990" s="65">
        <f>L990*60*1000</f>
        <v>2033.2165168368124</v>
      </c>
      <c r="P990" s="66">
        <f>O990*M990/1000</f>
        <v>607.9053067194881</v>
      </c>
    </row>
    <row r="991" spans="1:16" ht="12.75" customHeight="1">
      <c r="A991" s="380"/>
      <c r="B991" s="46" t="s">
        <v>183</v>
      </c>
      <c r="C991" s="25">
        <v>25</v>
      </c>
      <c r="D991" s="25">
        <v>1957</v>
      </c>
      <c r="E991" s="76">
        <v>53.48</v>
      </c>
      <c r="F991" s="76"/>
      <c r="G991" s="76"/>
      <c r="H991" s="76">
        <v>53.48</v>
      </c>
      <c r="I991" s="38">
        <v>1561.5</v>
      </c>
      <c r="J991" s="76">
        <f>H991/I991*K991</f>
        <v>53.497124559718216</v>
      </c>
      <c r="K991" s="25">
        <v>1562</v>
      </c>
      <c r="L991" s="47">
        <f>J991/K991</f>
        <v>0.03424911943643932</v>
      </c>
      <c r="M991" s="141">
        <f>294.4*1.09</f>
        <v>320.896</v>
      </c>
      <c r="N991" s="30">
        <f>L991*M991</f>
        <v>10.990405430675631</v>
      </c>
      <c r="O991" s="30">
        <f>L991*60*1000</f>
        <v>2054.947166186359</v>
      </c>
      <c r="P991" s="48">
        <f>O991*M991/1000</f>
        <v>659.4243258405379</v>
      </c>
    </row>
    <row r="992" spans="1:16" ht="12.75" customHeight="1">
      <c r="A992" s="380"/>
      <c r="B992" s="46" t="s">
        <v>70</v>
      </c>
      <c r="C992" s="25">
        <v>63</v>
      </c>
      <c r="D992" s="25">
        <v>1960</v>
      </c>
      <c r="E992" s="76">
        <v>36.53</v>
      </c>
      <c r="F992" s="76">
        <v>4.36</v>
      </c>
      <c r="G992" s="76"/>
      <c r="H992" s="76">
        <f>E992-F992-G992</f>
        <v>32.17</v>
      </c>
      <c r="I992" s="38">
        <v>924</v>
      </c>
      <c r="J992" s="76">
        <f>H992/I992*K992</f>
        <v>31.682575757575762</v>
      </c>
      <c r="K992" s="25">
        <v>910</v>
      </c>
      <c r="L992" s="47">
        <f>J992/K992</f>
        <v>0.03481601731601732</v>
      </c>
      <c r="M992" s="141">
        <f>294.4*1.09</f>
        <v>320.896</v>
      </c>
      <c r="N992" s="30">
        <f>L992*M992</f>
        <v>11.172320692640694</v>
      </c>
      <c r="O992" s="30">
        <f>L992*60*1000</f>
        <v>2088.9610389610393</v>
      </c>
      <c r="P992" s="48">
        <f>O992*M992/1000</f>
        <v>670.3392415584417</v>
      </c>
    </row>
    <row r="993" spans="1:16" ht="12.75" customHeight="1">
      <c r="A993" s="380"/>
      <c r="B993" s="67" t="s">
        <v>985</v>
      </c>
      <c r="C993" s="35">
        <v>6</v>
      </c>
      <c r="D993" s="35">
        <v>1958</v>
      </c>
      <c r="E993" s="75">
        <v>5.361</v>
      </c>
      <c r="F993" s="75">
        <v>0.272</v>
      </c>
      <c r="G993" s="75">
        <v>0.48</v>
      </c>
      <c r="H993" s="75">
        <v>4.609</v>
      </c>
      <c r="I993" s="70">
        <v>318.54</v>
      </c>
      <c r="J993" s="75">
        <v>3.231</v>
      </c>
      <c r="K993" s="70">
        <v>92.5</v>
      </c>
      <c r="L993" s="64">
        <f>J993/K993</f>
        <v>0.03492972972972973</v>
      </c>
      <c r="M993" s="36">
        <v>298.987</v>
      </c>
      <c r="N993" s="65">
        <f>L993*M993</f>
        <v>10.443535102702702</v>
      </c>
      <c r="O993" s="65">
        <f>L993*60*1000</f>
        <v>2095.7837837837837</v>
      </c>
      <c r="P993" s="66">
        <f>O993*M993/1000</f>
        <v>626.6121061621621</v>
      </c>
    </row>
    <row r="994" spans="1:16" ht="12.75" customHeight="1">
      <c r="A994" s="380"/>
      <c r="B994" s="109" t="s">
        <v>423</v>
      </c>
      <c r="C994" s="35">
        <v>6</v>
      </c>
      <c r="D994" s="35">
        <v>1926</v>
      </c>
      <c r="E994" s="75">
        <v>9.988</v>
      </c>
      <c r="F994" s="75">
        <v>0.306</v>
      </c>
      <c r="G994" s="75">
        <v>0.8</v>
      </c>
      <c r="H994" s="75">
        <f>E994-F994-G994</f>
        <v>8.882</v>
      </c>
      <c r="I994" s="36">
        <v>254.15</v>
      </c>
      <c r="J994" s="75">
        <v>6.79</v>
      </c>
      <c r="K994" s="36">
        <v>194.28</v>
      </c>
      <c r="L994" s="64">
        <f>J994/K994</f>
        <v>0.034949557339921763</v>
      </c>
      <c r="M994" s="36">
        <v>302.3</v>
      </c>
      <c r="N994" s="65">
        <f>L994*M994</f>
        <v>10.565251183858349</v>
      </c>
      <c r="O994" s="65">
        <f>L994*60*1000</f>
        <v>2096.9734403953057</v>
      </c>
      <c r="P994" s="66">
        <f>O994*M994/1000</f>
        <v>633.9150710315009</v>
      </c>
    </row>
    <row r="995" spans="1:16" ht="12.75" customHeight="1">
      <c r="A995" s="380"/>
      <c r="B995" s="46" t="s">
        <v>181</v>
      </c>
      <c r="C995" s="25">
        <v>8</v>
      </c>
      <c r="D995" s="25">
        <v>1901</v>
      </c>
      <c r="E995" s="76">
        <v>11.54</v>
      </c>
      <c r="F995" s="76"/>
      <c r="G995" s="76"/>
      <c r="H995" s="76">
        <v>11.54</v>
      </c>
      <c r="I995" s="38">
        <v>330</v>
      </c>
      <c r="J995" s="76">
        <f>H995/I995*K995</f>
        <v>11.540000000000001</v>
      </c>
      <c r="K995" s="25">
        <v>330</v>
      </c>
      <c r="L995" s="47">
        <f>J995/K995</f>
        <v>0.03496969696969697</v>
      </c>
      <c r="M995" s="141">
        <f>294.4*1.09</f>
        <v>320.896</v>
      </c>
      <c r="N995" s="30">
        <f>L995*M995</f>
        <v>11.221635878787879</v>
      </c>
      <c r="O995" s="30">
        <f>L995*60*1000</f>
        <v>2098.181818181818</v>
      </c>
      <c r="P995" s="48">
        <f>O995*M995/1000</f>
        <v>673.2981527272727</v>
      </c>
    </row>
    <row r="996" spans="1:16" ht="12.75" customHeight="1">
      <c r="A996" s="380"/>
      <c r="B996" s="67" t="s">
        <v>555</v>
      </c>
      <c r="C996" s="35">
        <v>5</v>
      </c>
      <c r="D996" s="35">
        <v>1920</v>
      </c>
      <c r="E996" s="75">
        <v>9.2</v>
      </c>
      <c r="F996" s="75">
        <v>0.2</v>
      </c>
      <c r="G996" s="75">
        <v>0.7</v>
      </c>
      <c r="H996" s="75">
        <v>8.3</v>
      </c>
      <c r="I996" s="70">
        <v>236</v>
      </c>
      <c r="J996" s="75">
        <v>8.3</v>
      </c>
      <c r="K996" s="70">
        <v>236</v>
      </c>
      <c r="L996" s="64">
        <f>J996/K996</f>
        <v>0.03516949152542373</v>
      </c>
      <c r="M996" s="36">
        <v>250.6</v>
      </c>
      <c r="N996" s="65">
        <f>L996*M996</f>
        <v>8.813474576271187</v>
      </c>
      <c r="O996" s="65">
        <f>L996*60*1000</f>
        <v>2110.169491525424</v>
      </c>
      <c r="P996" s="66">
        <f>O996*M996/1000</f>
        <v>528.8084745762712</v>
      </c>
    </row>
    <row r="997" spans="1:16" ht="12.75" customHeight="1">
      <c r="A997" s="380"/>
      <c r="B997" s="109" t="s">
        <v>272</v>
      </c>
      <c r="C997" s="35">
        <v>23</v>
      </c>
      <c r="D997" s="35">
        <v>1963</v>
      </c>
      <c r="E997" s="75">
        <v>17.74</v>
      </c>
      <c r="F997" s="75"/>
      <c r="G997" s="75"/>
      <c r="H997" s="75">
        <f>E997-F997-G997</f>
        <v>17.74</v>
      </c>
      <c r="I997" s="36">
        <v>502.6</v>
      </c>
      <c r="J997" s="75">
        <v>17.74</v>
      </c>
      <c r="K997" s="36">
        <v>502.6</v>
      </c>
      <c r="L997" s="64">
        <f>J997/K997</f>
        <v>0.03529645841623557</v>
      </c>
      <c r="M997" s="36">
        <v>302.3</v>
      </c>
      <c r="N997" s="65">
        <f>L997*M997</f>
        <v>10.670119379228012</v>
      </c>
      <c r="O997" s="65">
        <f>L997*60*1000</f>
        <v>2117.787504974134</v>
      </c>
      <c r="P997" s="66">
        <f>O997*M997/1000</f>
        <v>640.2071627536808</v>
      </c>
    </row>
    <row r="998" spans="1:16" ht="12.75" customHeight="1">
      <c r="A998" s="380"/>
      <c r="B998" s="46" t="s">
        <v>373</v>
      </c>
      <c r="C998" s="25">
        <v>10</v>
      </c>
      <c r="D998" s="25">
        <v>1938</v>
      </c>
      <c r="E998" s="76">
        <v>11.2</v>
      </c>
      <c r="F998" s="76"/>
      <c r="G998" s="76"/>
      <c r="H998" s="76">
        <f>E998-F998-G998</f>
        <v>11.2</v>
      </c>
      <c r="I998" s="38">
        <v>304.82</v>
      </c>
      <c r="J998" s="76">
        <v>10.82</v>
      </c>
      <c r="K998" s="38">
        <v>304.82</v>
      </c>
      <c r="L998" s="47">
        <f>J998/K998</f>
        <v>0.03549635850665967</v>
      </c>
      <c r="M998" s="30">
        <v>264.761</v>
      </c>
      <c r="N998" s="30">
        <f>L998*M998</f>
        <v>9.398051374581723</v>
      </c>
      <c r="O998" s="30">
        <f>L998*1000*60</f>
        <v>2129.78151039958</v>
      </c>
      <c r="P998" s="48">
        <f>N998*60</f>
        <v>563.8830824749034</v>
      </c>
    </row>
    <row r="999" spans="1:16" ht="12.75" customHeight="1">
      <c r="A999" s="380"/>
      <c r="B999" s="67" t="s">
        <v>408</v>
      </c>
      <c r="C999" s="35">
        <v>5</v>
      </c>
      <c r="D999" s="35" t="s">
        <v>156</v>
      </c>
      <c r="E999" s="233">
        <f>+F999+G999+H999</f>
        <v>6.279787</v>
      </c>
      <c r="F999" s="75">
        <v>0</v>
      </c>
      <c r="G999" s="75">
        <v>0</v>
      </c>
      <c r="H999" s="75">
        <v>6.279787</v>
      </c>
      <c r="I999" s="70">
        <v>176.04</v>
      </c>
      <c r="J999" s="75">
        <v>6.279787</v>
      </c>
      <c r="K999" s="70">
        <v>176.04</v>
      </c>
      <c r="L999" s="64">
        <f>J999/K999</f>
        <v>0.03567250056805272</v>
      </c>
      <c r="M999" s="36">
        <v>279.803</v>
      </c>
      <c r="N999" s="65">
        <f>L999*M999</f>
        <v>9.981272676442854</v>
      </c>
      <c r="O999" s="65">
        <f>L999*60*1000</f>
        <v>2140.3500340831633</v>
      </c>
      <c r="P999" s="66">
        <f>O999*M999/1000</f>
        <v>598.8763605865714</v>
      </c>
    </row>
    <row r="1000" spans="1:16" ht="12.75" customHeight="1">
      <c r="A1000" s="380"/>
      <c r="B1000" s="46" t="s">
        <v>510</v>
      </c>
      <c r="C1000" s="25">
        <v>6</v>
      </c>
      <c r="D1000" s="25" t="s">
        <v>24</v>
      </c>
      <c r="E1000" s="76">
        <f>SUM(F1000:H1000)</f>
        <v>11.61</v>
      </c>
      <c r="F1000" s="76">
        <v>0</v>
      </c>
      <c r="G1000" s="76">
        <v>0</v>
      </c>
      <c r="H1000" s="76">
        <v>11.61</v>
      </c>
      <c r="I1000" s="38">
        <v>321.15</v>
      </c>
      <c r="J1000" s="76">
        <v>11.61</v>
      </c>
      <c r="K1000" s="38">
        <v>321.15</v>
      </c>
      <c r="L1000" s="64">
        <f>J1000/K1000</f>
        <v>0.03615133115366651</v>
      </c>
      <c r="M1000" s="36">
        <v>206.1</v>
      </c>
      <c r="N1000" s="65">
        <f>L1000*M1000</f>
        <v>7.450789350770668</v>
      </c>
      <c r="O1000" s="65">
        <f>L1000*60*1000</f>
        <v>2169.0798692199905</v>
      </c>
      <c r="P1000" s="66">
        <f>O1000*M1000/1000</f>
        <v>447.04736104624004</v>
      </c>
    </row>
    <row r="1001" spans="1:16" ht="12.75" customHeight="1">
      <c r="A1001" s="380"/>
      <c r="B1001" s="67" t="s">
        <v>124</v>
      </c>
      <c r="C1001" s="35">
        <v>7</v>
      </c>
      <c r="D1001" s="35">
        <v>1973</v>
      </c>
      <c r="E1001" s="75">
        <f>F1001+G1001+H1001</f>
        <v>9.02</v>
      </c>
      <c r="F1001" s="75">
        <v>0</v>
      </c>
      <c r="G1001" s="75">
        <v>0</v>
      </c>
      <c r="H1001" s="75">
        <v>9.02</v>
      </c>
      <c r="I1001" s="70">
        <v>246.04</v>
      </c>
      <c r="J1001" s="75">
        <v>9.02</v>
      </c>
      <c r="K1001" s="70">
        <v>246.04</v>
      </c>
      <c r="L1001" s="64">
        <f>J1001/K1001</f>
        <v>0.03666070557632905</v>
      </c>
      <c r="M1001" s="36">
        <v>314.4</v>
      </c>
      <c r="N1001" s="65">
        <f>L1001*M1001</f>
        <v>11.526125833197852</v>
      </c>
      <c r="O1001" s="65">
        <f>L1001*60*1000</f>
        <v>2199.642334579743</v>
      </c>
      <c r="P1001" s="66">
        <f>O1001*M1001/1000</f>
        <v>691.5675499918711</v>
      </c>
    </row>
    <row r="1002" spans="1:16" ht="12.75" customHeight="1">
      <c r="A1002" s="380"/>
      <c r="B1002" s="67" t="s">
        <v>273</v>
      </c>
      <c r="C1002" s="35">
        <v>6</v>
      </c>
      <c r="D1002" s="35">
        <v>1959</v>
      </c>
      <c r="E1002" s="75">
        <v>7.57</v>
      </c>
      <c r="F1002" s="75">
        <v>0.408</v>
      </c>
      <c r="G1002" s="75">
        <v>0.06</v>
      </c>
      <c r="H1002" s="75">
        <f>E1002-F1002-G1002</f>
        <v>7.102</v>
      </c>
      <c r="I1002" s="36">
        <v>225.86</v>
      </c>
      <c r="J1002" s="75">
        <v>5.481</v>
      </c>
      <c r="K1002" s="36">
        <v>149.18</v>
      </c>
      <c r="L1002" s="64">
        <f>J1002/K1002</f>
        <v>0.036740849979890064</v>
      </c>
      <c r="M1002" s="36">
        <v>302.3</v>
      </c>
      <c r="N1002" s="65">
        <f>L1002*M1002</f>
        <v>11.106758948920767</v>
      </c>
      <c r="O1002" s="65">
        <f>L1002*60*1000</f>
        <v>2204.450998793404</v>
      </c>
      <c r="P1002" s="66">
        <f>O1002*M1002/1000</f>
        <v>666.405536935246</v>
      </c>
    </row>
    <row r="1003" spans="1:16" ht="12.75" customHeight="1">
      <c r="A1003" s="380"/>
      <c r="B1003" s="46" t="s">
        <v>44</v>
      </c>
      <c r="C1003" s="25">
        <v>4</v>
      </c>
      <c r="D1003" s="25">
        <v>1963</v>
      </c>
      <c r="E1003" s="76">
        <v>6.363</v>
      </c>
      <c r="F1003" s="76">
        <v>0.58905</v>
      </c>
      <c r="G1003" s="76">
        <v>0</v>
      </c>
      <c r="H1003" s="76">
        <v>5.77395</v>
      </c>
      <c r="I1003" s="38">
        <v>146.98</v>
      </c>
      <c r="J1003" s="76">
        <v>5.773951</v>
      </c>
      <c r="K1003" s="38">
        <v>146.98</v>
      </c>
      <c r="L1003" s="47">
        <f>J1003/K1003</f>
        <v>0.03928392298271874</v>
      </c>
      <c r="M1003" s="25">
        <v>298.66</v>
      </c>
      <c r="N1003" s="30">
        <f>L1003*M1003</f>
        <v>11.73253643801878</v>
      </c>
      <c r="O1003" s="30">
        <f>L1003*60*1000</f>
        <v>2357.035378963124</v>
      </c>
      <c r="P1003" s="48">
        <f>O1003*M1003/1000</f>
        <v>703.9521862811267</v>
      </c>
    </row>
    <row r="1004" spans="1:16" ht="12.75" customHeight="1">
      <c r="A1004" s="380"/>
      <c r="B1004" s="46" t="s">
        <v>153</v>
      </c>
      <c r="C1004" s="25">
        <v>13</v>
      </c>
      <c r="D1004" s="25">
        <v>1958</v>
      </c>
      <c r="E1004" s="76">
        <f>SUM(F1004:H1004)</f>
        <v>19.5</v>
      </c>
      <c r="F1004" s="76"/>
      <c r="G1004" s="76"/>
      <c r="H1004" s="76">
        <v>19.5</v>
      </c>
      <c r="I1004" s="38">
        <v>653.78</v>
      </c>
      <c r="J1004" s="76">
        <v>18.3754</v>
      </c>
      <c r="K1004" s="38">
        <v>444.31</v>
      </c>
      <c r="L1004" s="47">
        <f>J1004/K1004</f>
        <v>0.04135716054106367</v>
      </c>
      <c r="M1004" s="30">
        <v>285.3</v>
      </c>
      <c r="N1004" s="30">
        <f>L1004*M1004*1.09</f>
        <v>12.861125713578359</v>
      </c>
      <c r="O1004" s="30">
        <f>L1004*60*1000</f>
        <v>2481.4296324638203</v>
      </c>
      <c r="P1004" s="48">
        <v>771.6675428147015</v>
      </c>
    </row>
    <row r="1005" spans="1:16" ht="12.75" customHeight="1" thickBot="1">
      <c r="A1005" s="389"/>
      <c r="B1005" s="227" t="s">
        <v>782</v>
      </c>
      <c r="C1005" s="167">
        <v>3</v>
      </c>
      <c r="D1005" s="167">
        <v>1940</v>
      </c>
      <c r="E1005" s="168">
        <v>5</v>
      </c>
      <c r="F1005" s="168">
        <v>0</v>
      </c>
      <c r="G1005" s="168">
        <v>0</v>
      </c>
      <c r="H1005" s="168">
        <v>5</v>
      </c>
      <c r="I1005" s="226">
        <v>112.26</v>
      </c>
      <c r="J1005" s="168">
        <v>5</v>
      </c>
      <c r="K1005" s="226">
        <v>112.26</v>
      </c>
      <c r="L1005" s="170">
        <f>J1005/K1005</f>
        <v>0.044539461963299484</v>
      </c>
      <c r="M1005" s="169">
        <v>224.1</v>
      </c>
      <c r="N1005" s="171">
        <f>L1005*M1005</f>
        <v>9.981293425975414</v>
      </c>
      <c r="O1005" s="171">
        <f>L1005*60*1000</f>
        <v>2672.367717797969</v>
      </c>
      <c r="P1005" s="172">
        <f>O1005*M1005/1000</f>
        <v>598.8776055585248</v>
      </c>
    </row>
  </sheetData>
  <sheetProtection/>
  <mergeCells count="19">
    <mergeCell ref="A163:A413"/>
    <mergeCell ref="A702:A1005"/>
    <mergeCell ref="A414:A701"/>
    <mergeCell ref="B1:P1"/>
    <mergeCell ref="K3:K4"/>
    <mergeCell ref="L3:L4"/>
    <mergeCell ref="M3:M4"/>
    <mergeCell ref="O3:O4"/>
    <mergeCell ref="B2:P2"/>
    <mergeCell ref="P3:P4"/>
    <mergeCell ref="N3:N4"/>
    <mergeCell ref="C3:C4"/>
    <mergeCell ref="E3:H3"/>
    <mergeCell ref="I3:I4"/>
    <mergeCell ref="J3:J4"/>
    <mergeCell ref="A3:A5"/>
    <mergeCell ref="D3:D4"/>
    <mergeCell ref="B3:B5"/>
    <mergeCell ref="A7:A162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2011-05-24T08:20:03Z</cp:lastPrinted>
  <dcterms:created xsi:type="dcterms:W3CDTF">2007-12-03T08:09:16Z</dcterms:created>
  <dcterms:modified xsi:type="dcterms:W3CDTF">2012-04-17T12:42:57Z</dcterms:modified>
  <cp:category/>
  <cp:version/>
  <cp:contentType/>
  <cp:contentStatus/>
</cp:coreProperties>
</file>