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45" windowWidth="18810" windowHeight="6090" activeTab="0"/>
  </bookViews>
  <sheets>
    <sheet name="2012_spalis" sheetId="1" r:id="rId1"/>
  </sheets>
  <definedNames/>
  <calcPr fullCalcOnLoad="1"/>
</workbook>
</file>

<file path=xl/sharedStrings.xml><?xml version="1.0" encoding="utf-8"?>
<sst xmlns="http://schemas.openxmlformats.org/spreadsheetml/2006/main" count="1147" uniqueCount="882">
  <si>
    <t>Pastatų grupės pagal šilumos suvartojimą</t>
  </si>
  <si>
    <t>Adresas</t>
  </si>
  <si>
    <t>Butų sk.</t>
  </si>
  <si>
    <t>Namo 
plotas</t>
  </si>
  <si>
    <t>Butų 
plotas</t>
  </si>
  <si>
    <t xml:space="preserve">Šilumos 
suvartojimas šildymui </t>
  </si>
  <si>
    <t>vnt.</t>
  </si>
  <si>
    <t>metai</t>
  </si>
  <si>
    <t>MWh</t>
  </si>
  <si>
    <t>Lt/MWh</t>
  </si>
  <si>
    <t>Statybos metai</t>
  </si>
  <si>
    <t>Suvartotas šilumos kiekis</t>
  </si>
  <si>
    <t>Apmokestinta šiluma šildymui gyventojams</t>
  </si>
  <si>
    <t xml:space="preserve">Šilumos kaina gyventojams
(su PVM) </t>
  </si>
  <si>
    <t>Mokėjimai už šilumą 1 m² ploto šildymui                 (su PVM)</t>
  </si>
  <si>
    <t xml:space="preserve">Iš viso 
</t>
  </si>
  <si>
    <t xml:space="preserve">Karštam vandeniui ruošti </t>
  </si>
  <si>
    <t>Karšto vandens temp. palaikymui</t>
  </si>
  <si>
    <t xml:space="preserve">Patalpų šildymui </t>
  </si>
  <si>
    <t>m²</t>
  </si>
  <si>
    <t>Šilumos suvartojimas 60 m² ploto buto šildymui</t>
  </si>
  <si>
    <t>Mokėjimai už šilumą 60 m² ploto buto šildymui 
(su PVM)</t>
  </si>
  <si>
    <t>kWh/mėn</t>
  </si>
  <si>
    <t>Lt/mėn</t>
  </si>
  <si>
    <t>I. Daugiabučiai suvartojantys mažiausiai šilumos (naujos statybos, kokybiški namai)</t>
  </si>
  <si>
    <t>II. Daugiabučiai suvartojantys mažai arba vidutiniškai šilumos (naujos statybos ir kiti kažkiek taupantys šilumą namai)</t>
  </si>
  <si>
    <t>III. Daugiabučiai suvartojantys daug šilumos (senos statybos nerenovuoti namai)</t>
  </si>
  <si>
    <t>IV. Daugiaubučiai suvartojantys labai daug šilumos (senos statybos, labai prastos šiluminės izoliacijos namai)</t>
  </si>
  <si>
    <t>Lt/m²/mėn.</t>
  </si>
  <si>
    <t>MWh/m²/mėn.</t>
  </si>
  <si>
    <t>Šilumos suvartojimo ir mokėjimų už šilumą analizė Lietuvos miestų daugiabučiuose gyvenamuosiuose namuose (2012 m. spalio mėn)</t>
  </si>
  <si>
    <t>iki 1992</t>
  </si>
  <si>
    <t>Bajorų kelias 3, Vilnius</t>
  </si>
  <si>
    <t>Pavilnionių g. 31, Vilnius</t>
  </si>
  <si>
    <t>Sviliškių g. 4,6, Vilnius</t>
  </si>
  <si>
    <t>Perkūnkiemio g. 45, Vilnius</t>
  </si>
  <si>
    <t>Jonažolių g. 13 (bt. 1-58), Vilnius</t>
  </si>
  <si>
    <t>Laisvės pr. 85, Vilnius</t>
  </si>
  <si>
    <t>Žirmūnų g. 3, Vilnius</t>
  </si>
  <si>
    <t>J.Franko g. 4, Vilnius</t>
  </si>
  <si>
    <t>Fizikų g. 6, Vilnius</t>
  </si>
  <si>
    <t>J.Kubiliaus g. 4, Vilnius</t>
  </si>
  <si>
    <t>Sviliškių g. 3,5,7, Vilnius</t>
  </si>
  <si>
    <t>P.Smuglevičiaus g. 6, Vilnius</t>
  </si>
  <si>
    <t>Karaliaučiaus g. 16C, Vilnius</t>
  </si>
  <si>
    <t>Pajautos g. 13, Vilnius</t>
  </si>
  <si>
    <t>Bitėnų g. 10, Vilnius</t>
  </si>
  <si>
    <t>M.Marcinkevičiaus g. 29, Vilnius</t>
  </si>
  <si>
    <t>Ūmėdžių g. 80, 82, Vilnius</t>
  </si>
  <si>
    <t>Ūmėdžių g. 96, Vilnius</t>
  </si>
  <si>
    <t>Bitininkų g. 4C, Vilnius</t>
  </si>
  <si>
    <t>Ukmergės g. 228, Vilnius</t>
  </si>
  <si>
    <t>Linksmoji g. 77, Vilnius</t>
  </si>
  <si>
    <t>Karaliaučiaus g. 16a, Vilnius</t>
  </si>
  <si>
    <t>Filaretų g. 18, 20, Vilnius</t>
  </si>
  <si>
    <t>Taikos g. 126, 124, Vilnius</t>
  </si>
  <si>
    <t>Rinktinės g. 36, Vilnius</t>
  </si>
  <si>
    <t>Naugarduko g. 50A, Vilnius</t>
  </si>
  <si>
    <t>Agrastų g. 8, Vilnius</t>
  </si>
  <si>
    <t>Rygos g. 34, 36, 38, Vilnius</t>
  </si>
  <si>
    <t>Musninkų g. 20, Vilnius</t>
  </si>
  <si>
    <t>Tramvajų g. 4, Vilnius</t>
  </si>
  <si>
    <t>Šeškinės g. 63, Vilnius</t>
  </si>
  <si>
    <t>P.Vileišio g. 16, Vilnius</t>
  </si>
  <si>
    <t>Žemynos g. 9, Vilnius</t>
  </si>
  <si>
    <t>Arklių g. 16, Vilnius</t>
  </si>
  <si>
    <t>Sėlių g. 43, Vilnius</t>
  </si>
  <si>
    <t>S.Stanevičiaus g. 8, Vilnius</t>
  </si>
  <si>
    <t>Popieriaus g. 82, Vilnius</t>
  </si>
  <si>
    <t>Parko g. 18, Vilnius</t>
  </si>
  <si>
    <t>A.Domaševičiaus g. 3, Vilnius</t>
  </si>
  <si>
    <t>J.Tiškevičiaus g. 6, Vilnius</t>
  </si>
  <si>
    <t>V.Grybo g. 24, Vilnius</t>
  </si>
  <si>
    <t>Krėvės 82B, Kaunas</t>
  </si>
  <si>
    <t>Jaunimo 4 (renov.), Kaunas</t>
  </si>
  <si>
    <t>Ašmenos II-oji 37, Kaunas</t>
  </si>
  <si>
    <t>Radvilėnų  5, Kaunas</t>
  </si>
  <si>
    <t>Geležinio Vilko 1A, Kaunas</t>
  </si>
  <si>
    <t>Naujakurių 116A, Kaunas</t>
  </si>
  <si>
    <t>Karaliaus Mindaugo 7, Kaunas</t>
  </si>
  <si>
    <t>Taikos 78 (renov.), Kaunas</t>
  </si>
  <si>
    <t>Sukilėlių 87A (KVT), Kaunas</t>
  </si>
  <si>
    <t>Archyvo 48, Kaunas</t>
  </si>
  <si>
    <t>Saulės 3, Kaunas</t>
  </si>
  <si>
    <t>Krėvės 61 (renov.) (KVT), Kaunas</t>
  </si>
  <si>
    <t>Savanorių 415  (renov.)(KVT), Kaunas</t>
  </si>
  <si>
    <t>Kovo 11-osios 118 (renov)(KVT), Kaunas</t>
  </si>
  <si>
    <t>Kovo 11-osios 114 (renov.)(KVT), Kaunas</t>
  </si>
  <si>
    <t>Griunvaldo 4  (renov.), Kaunas</t>
  </si>
  <si>
    <t>Partizanų 160 (renov.), Kaunas</t>
  </si>
  <si>
    <t>Pašilės 59, Kaunas</t>
  </si>
  <si>
    <t>Medvėgalio 31 (renov.), Kaunas</t>
  </si>
  <si>
    <t>Šiaurės 1 (KVT), Kaunas</t>
  </si>
  <si>
    <t>Lukšos-Daumanto 2, Kaunas</t>
  </si>
  <si>
    <t>Taikos 39, Kaunas</t>
  </si>
  <si>
    <t>Lukšio 64, Kaunas</t>
  </si>
  <si>
    <t>Partizanų 198, Kaunas</t>
  </si>
  <si>
    <t>Gravrogkų 17, Kaunas</t>
  </si>
  <si>
    <t>Baltų 2, Kaunas</t>
  </si>
  <si>
    <t>Masiulio 6, Kaunas</t>
  </si>
  <si>
    <t>Šiaurės 101, Kaunas</t>
  </si>
  <si>
    <t>Pašilės 96, Kaunas</t>
  </si>
  <si>
    <t>Kalantos R. 23, Kaunas</t>
  </si>
  <si>
    <t>Taikos 41, Kaunas</t>
  </si>
  <si>
    <t>Vievio 54, Kaunas</t>
  </si>
  <si>
    <t>Draugystės 6, Kaunas</t>
  </si>
  <si>
    <t>Partizanų 20, Kaunas</t>
  </si>
  <si>
    <t>Baršausko 75, Kaunas</t>
  </si>
  <si>
    <t>Stulginskio A. 64, Kaunas</t>
  </si>
  <si>
    <t>Juozapavičiaus 48 A, Kaunas</t>
  </si>
  <si>
    <t>Masiulio T. 1, Kaunas</t>
  </si>
  <si>
    <t>Jakšto 8, Kaunas</t>
  </si>
  <si>
    <t>Sąjungos a. 10, Kaunas</t>
  </si>
  <si>
    <t>Taikos pr. 144, Klaipėda</t>
  </si>
  <si>
    <t>Statybininkų g. 7B, Klaipėda</t>
  </si>
  <si>
    <t>Pietinė g. 7, Klaipėda</t>
  </si>
  <si>
    <t>Debreceno g. 58B, Klaipėda</t>
  </si>
  <si>
    <t>Debreceno g. 31, Klaipėda</t>
  </si>
  <si>
    <t>Dragūnų g. 14, Klaipėda</t>
  </si>
  <si>
    <t>Vyturio g. 15, Klaipėda</t>
  </si>
  <si>
    <t>I.Simonaitytės 29, Klaipėda</t>
  </si>
  <si>
    <t>Baltijos pr. 67, Klaipėda</t>
  </si>
  <si>
    <t>Reikjaviko g. 9 ®, Klaipėda</t>
  </si>
  <si>
    <t>Liubeko g. 3, Klaipėda</t>
  </si>
  <si>
    <t>Kooperacijos g. 3A, Klaipėda</t>
  </si>
  <si>
    <t>Sulupės g. 7, Klaipėda</t>
  </si>
  <si>
    <t>Kauno g. 31, Klaipėda</t>
  </si>
  <si>
    <t>Strėvos g. 8, Klaipėda</t>
  </si>
  <si>
    <t>Dzūkų g. 6, Klaipėda</t>
  </si>
  <si>
    <t>Šilutės pl. 44, Klaipėda</t>
  </si>
  <si>
    <t>Kretingos g. 11, Klaipėda</t>
  </si>
  <si>
    <t>Liepų g. 41, Klaipėda</t>
  </si>
  <si>
    <t>Rumpiškės g. 28, Klaipėda</t>
  </si>
  <si>
    <t>Žardininkų g. 8, Klaipėda</t>
  </si>
  <si>
    <t>Debreceno g. 11, Klaipėda</t>
  </si>
  <si>
    <t>Varpų g. 27, Klaipėda</t>
  </si>
  <si>
    <t>Geležinkelio g. 12, Klaipėda</t>
  </si>
  <si>
    <t>Žardininkų g. 11, Klaipėda</t>
  </si>
  <si>
    <t>Statybibinkų pr. 21, Klaipėda</t>
  </si>
  <si>
    <t>Ramioji g. 10, Klaipėda</t>
  </si>
  <si>
    <t>Liepų g. 49, Klaipėda</t>
  </si>
  <si>
    <t>Bangų g. 17, Klaipėda</t>
  </si>
  <si>
    <t>Kuncų g. 16, Klaipėda</t>
  </si>
  <si>
    <t>Kretingos g. 56, Klaipėda</t>
  </si>
  <si>
    <t>Šaulių g. 52, Klaipėda</t>
  </si>
  <si>
    <t>Ramioji g. 3, Klaipėda</t>
  </si>
  <si>
    <t>Budelkiemio g. 9, Klaipėda</t>
  </si>
  <si>
    <t>Vingio g. 35, Klaipėda</t>
  </si>
  <si>
    <t>Minijos g. 149, Klaipėda</t>
  </si>
  <si>
    <t>Liepų g. 53, Klaipėda</t>
  </si>
  <si>
    <t>J.Janonio g. 18, Klaipėda</t>
  </si>
  <si>
    <t>3 902,29</t>
  </si>
  <si>
    <t>1 955,05</t>
  </si>
  <si>
    <t>1 973,26</t>
  </si>
  <si>
    <t>2 632,02</t>
  </si>
  <si>
    <t>1 845,02</t>
  </si>
  <si>
    <t>1 163,53</t>
  </si>
  <si>
    <t>Tulpių g. 13, Panevėžys</t>
  </si>
  <si>
    <t>Beržų g. 31, Panevėžys</t>
  </si>
  <si>
    <t>Molainių g. 8, Panevėžys</t>
  </si>
  <si>
    <t>Klaipėdos g. 98, Panevėžys</t>
  </si>
  <si>
    <t>Kniaudiškių g. 54, Panevėžys</t>
  </si>
  <si>
    <t>Molainių g. 78, Panevėžys</t>
  </si>
  <si>
    <t>Statybininkų g. 34, Panevėžys</t>
  </si>
  <si>
    <t>Vaitkaus g.6, Panevėžys</t>
  </si>
  <si>
    <t>Nevėžio g. 40B, Panevėžys</t>
  </si>
  <si>
    <t>Klaipėdos g. 99 K2, Panevėžys</t>
  </si>
  <si>
    <t>Nepriklausomybės a. 9, Panevėžys</t>
  </si>
  <si>
    <t>Basanavičiaus g.  1, Panevėžys</t>
  </si>
  <si>
    <t>Vilties g. 8, Panevėžys</t>
  </si>
  <si>
    <t>Aukštaičių g. 66, Panevėžys</t>
  </si>
  <si>
    <t>Vilniaus g. 16, Panevėžys</t>
  </si>
  <si>
    <t>Sodų g. 6, Panevėžys</t>
  </si>
  <si>
    <t>Vilties g. 47, Panevėžys</t>
  </si>
  <si>
    <t>Kranto g. 25, Panevėžys</t>
  </si>
  <si>
    <t>Įmonių g. 21, Panevėžys</t>
  </si>
  <si>
    <t>Aldonos g. 3, Panevėžys</t>
  </si>
  <si>
    <t>Grinkevičiaus g. 8 (renov.), Šiauliai</t>
  </si>
  <si>
    <t>Gardino g. 27 (renov.), Šiauliai</t>
  </si>
  <si>
    <t>Dainų g. 4 (renov.), Šiauliai</t>
  </si>
  <si>
    <t>Sevastopolio g. 5(renov.), Šiauliai</t>
  </si>
  <si>
    <t>Vytauto g. 138 (renov.), Šiauliai</t>
  </si>
  <si>
    <t>Ginkevičiaus g. 6 (renov.), Šiauliai</t>
  </si>
  <si>
    <t>Gegužių g. 17, Šiauliai</t>
  </si>
  <si>
    <t>Vytauto g. 149 (renov.), Šiauliai</t>
  </si>
  <si>
    <t>Žeimių g. 6B, Šiauliai</t>
  </si>
  <si>
    <t>Žeimių g. 6A, Šiauliai</t>
  </si>
  <si>
    <t>Putinų g. 10, Šiauliai</t>
  </si>
  <si>
    <t>Krymo g. 14, Šiauliai</t>
  </si>
  <si>
    <t>Statybininkų g. 5, Šiauliai</t>
  </si>
  <si>
    <t>Gardino g. 33, Šiauliai</t>
  </si>
  <si>
    <t>Aido g. 5, Šiauliai</t>
  </si>
  <si>
    <t>Sevastopolio g. 9 (renov.), Šiauliai</t>
  </si>
  <si>
    <t>Lieporių g. 21, Šiauliai</t>
  </si>
  <si>
    <t>K. Korsako g. 103, Šiauliai</t>
  </si>
  <si>
    <t>Dainų g. 43, Šiauliai</t>
  </si>
  <si>
    <t>Dainų g. 12, Šiauliai</t>
  </si>
  <si>
    <t>Tilžės g. 165, Šiauliai</t>
  </si>
  <si>
    <t>Aukštabalio g. 12, Šiauliai</t>
  </si>
  <si>
    <t>Dvaro g. 100, Šiauliai</t>
  </si>
  <si>
    <t>Kauno g. 22A, Šiauliai</t>
  </si>
  <si>
    <t>Draugystės pr. 5, Šiauliai</t>
  </si>
  <si>
    <t>St. Šalkauskio g. 5, Šiauliai</t>
  </si>
  <si>
    <t>Tilžės g. 38, Šiauliai</t>
  </si>
  <si>
    <t>Ežero g. 9, Šiauliai</t>
  </si>
  <si>
    <t>Aušros takas 4, Šiauliai</t>
  </si>
  <si>
    <t>Varpo g. 35, Šiauliai</t>
  </si>
  <si>
    <t>Energetikų g. 11, Šiauliai</t>
  </si>
  <si>
    <t>P. Cvirkos g. 75, Šiauliai</t>
  </si>
  <si>
    <t>Kauno g. 22, Šiauliai</t>
  </si>
  <si>
    <t>Ežero g. 23, Šiauliai</t>
  </si>
  <si>
    <t>Ežero g. 27, Šiauliai</t>
  </si>
  <si>
    <t>Draugystės pr.3A, Šiauliai</t>
  </si>
  <si>
    <t>P. Višinskio g. 37, Šiauliai</t>
  </si>
  <si>
    <t>Ežero g. 14, Šiauliai</t>
  </si>
  <si>
    <t>Vilniaus g. 213A, Šiauliai</t>
  </si>
  <si>
    <t>Ežero g. 15, Šiauliai</t>
  </si>
  <si>
    <t>Statybininkų 46 Alytus</t>
  </si>
  <si>
    <t>VINGIO 1 Alytus</t>
  </si>
  <si>
    <t>NAUJOJI 68 Alytus</t>
  </si>
  <si>
    <t>Dariaus ir Girėno 6B Alytus</t>
  </si>
  <si>
    <t>PUTINŲ 24A Alytus</t>
  </si>
  <si>
    <t>ŽUVINTO 13 Alytus</t>
  </si>
  <si>
    <t>VILTIES 32 Alytus</t>
  </si>
  <si>
    <t>BIRUTĖS 14 Alytus</t>
  </si>
  <si>
    <t>LAUKO 17 Alytus</t>
  </si>
  <si>
    <t>KALNIŠKĖS 25 Alytus</t>
  </si>
  <si>
    <t>Statybininkų 30 Alytus</t>
  </si>
  <si>
    <t>VINGIO 6 Alytus</t>
  </si>
  <si>
    <t>MAIRONIO 1 Alytus</t>
  </si>
  <si>
    <t>VINGIO 27 Alytus</t>
  </si>
  <si>
    <t>TVIRTOVĖS 9 Alytus</t>
  </si>
  <si>
    <t>JONYNO 5 Alytus</t>
  </si>
  <si>
    <t>ŽUVINTO 5A Alytus</t>
  </si>
  <si>
    <t>LAKŪNŲ 7 Alytus</t>
  </si>
  <si>
    <t>PRAMONĖS 4 Alytus</t>
  </si>
  <si>
    <t>JAUNIMO 31 Alytus</t>
  </si>
  <si>
    <t>VILTIES 4 Alytus</t>
  </si>
  <si>
    <t>VOLUNGĖS 12 Alytus</t>
  </si>
  <si>
    <t>Aukštakalnio 26 Alytus</t>
  </si>
  <si>
    <t>JAUNIMO 10 Alytus</t>
  </si>
  <si>
    <t>Dariaus ir Girėno 2A Alytus</t>
  </si>
  <si>
    <t>BAŽNYČIOS 2 Alytus</t>
  </si>
  <si>
    <t>VILTIES 2 Alytus</t>
  </si>
  <si>
    <t>Dariaus ir Girėno 4 Alytus</t>
  </si>
  <si>
    <t>MIŠKO 13 Alytus</t>
  </si>
  <si>
    <t>VOLUNGĖS 22 Alytus</t>
  </si>
  <si>
    <t>JAZMINŲ 12 Alytus</t>
  </si>
  <si>
    <t>PULKO 43 3 Alytus</t>
  </si>
  <si>
    <t>VOLUNGĖS 19 Alytus</t>
  </si>
  <si>
    <t>ŽALGIRIO 31 Alytus</t>
  </si>
  <si>
    <t>Dariaus ir Girėno 6 Alytus</t>
  </si>
  <si>
    <t>VOLUNGĖS 17 Alytus</t>
  </si>
  <si>
    <t>Vėjo 26b, Biržai</t>
  </si>
  <si>
    <t>Rinkuškių 47, Biržai</t>
  </si>
  <si>
    <t>Vilniaus 4, Biržai</t>
  </si>
  <si>
    <t>Rinkuškių 49, Biržai</t>
  </si>
  <si>
    <t>Rinkuškių 51, Biržai</t>
  </si>
  <si>
    <t>Rinkuškių 47a, Biržai</t>
  </si>
  <si>
    <t>Vilniaus 39a, Biržai</t>
  </si>
  <si>
    <t>Vilniaus 56, Biržai</t>
  </si>
  <si>
    <t>Vytauto 24, Biržai</t>
  </si>
  <si>
    <t>Vilniaus 77b, Biržai</t>
  </si>
  <si>
    <t>Respublikos 58, Biržai</t>
  </si>
  <si>
    <t>Vilniaus 6, Biržai</t>
  </si>
  <si>
    <t>Rotušės 24, Biržai</t>
  </si>
  <si>
    <t>Vilniaus 91a, Biržai</t>
  </si>
  <si>
    <t>Rotušės 24b, Biržai</t>
  </si>
  <si>
    <t>Respublikos 56, Biržai</t>
  </si>
  <si>
    <t>Vilniaus 92, Biržai</t>
  </si>
  <si>
    <t>Rotušės 3, Biržai</t>
  </si>
  <si>
    <t>Vilniaus 93a, Biržai</t>
  </si>
  <si>
    <t>Vytauto 33, Biržai</t>
  </si>
  <si>
    <t>Kilučių 11, Biržai</t>
  </si>
  <si>
    <t>Vytauto 8, Biržai</t>
  </si>
  <si>
    <t>Rotušės 7, Biržai</t>
  </si>
  <si>
    <t>Basanavičiaus 18, Biržai</t>
  </si>
  <si>
    <t>Kęstučio 2, Biržai</t>
  </si>
  <si>
    <t>Rotušės 19, Biržai</t>
  </si>
  <si>
    <t>Rotušės 1, Biržai</t>
  </si>
  <si>
    <t>Rinkuškių 22, Biržai</t>
  </si>
  <si>
    <t>Rotušės 5, Biržai</t>
  </si>
  <si>
    <t>Vytauto 6, Biržai</t>
  </si>
  <si>
    <t>Vytauto 14a, Biržai</t>
  </si>
  <si>
    <t>Kosmonautų 12, Marijampolė</t>
  </si>
  <si>
    <t>V.Kudirkos 1, Marijampolė</t>
  </si>
  <si>
    <t>Kauno 92, Marijampolė</t>
  </si>
  <si>
    <t>R.Juknevičiaus 20, Marijampolė</t>
  </si>
  <si>
    <t>Kosmonautų 28, Marijampolė</t>
  </si>
  <si>
    <t>R.Juknevičiaus 48, Marijampolė</t>
  </si>
  <si>
    <t>Vilkaviškio 61, Marijampolė</t>
  </si>
  <si>
    <t>R.Juknevičiaus 23, Marijampolė</t>
  </si>
  <si>
    <t>A.Civinsko 7, Marijampolė</t>
  </si>
  <si>
    <t>Vytauto 13, Marijampolė</t>
  </si>
  <si>
    <t>Gėlių 14, Marijampolė</t>
  </si>
  <si>
    <t>Draugystės 20, Marijampolė</t>
  </si>
  <si>
    <t>Vytenio 31D, Marijampolė</t>
  </si>
  <si>
    <t>Dariaus ir Girėno 9, Marijampolė</t>
  </si>
  <si>
    <t>Vilkaviškio 72, Marijampolė</t>
  </si>
  <si>
    <t>Beržų 15A, Marijampolė</t>
  </si>
  <si>
    <t>R.Juknevičiaus 14, Marijampolė</t>
  </si>
  <si>
    <t>Mokolų 51, Marijampolė</t>
  </si>
  <si>
    <t>Draugystės 18, Marijampolė</t>
  </si>
  <si>
    <t>R.Juknevičiaus 3, Marijampolė</t>
  </si>
  <si>
    <t>P.Butlerienės 11, Marijampolė</t>
  </si>
  <si>
    <t>Vytauto 12, Marijampolė</t>
  </si>
  <si>
    <t>Lietuvininkų 4, Marijampolė</t>
  </si>
  <si>
    <t>Nausupės 8, Marijampolė</t>
  </si>
  <si>
    <t>Jaunimo 22, Marijampolė</t>
  </si>
  <si>
    <t>Dvarkelio 11, Marijampolė</t>
  </si>
  <si>
    <t>Nausupės sk. 2, Marijampolė</t>
  </si>
  <si>
    <t>Dvarkelio 7, Marijampolė</t>
  </si>
  <si>
    <t>Vingio 3, Marijampolė</t>
  </si>
  <si>
    <t>Bažnyčios 15, Marijampolė</t>
  </si>
  <si>
    <t>Dvarkelio 14, Marijampolė</t>
  </si>
  <si>
    <t>P.Armino 33, Marijampolė</t>
  </si>
  <si>
    <t>Vingio 8, Marijampolė</t>
  </si>
  <si>
    <t>Vasario  16-osios 4, Marijampolė</t>
  </si>
  <si>
    <t>P.Butlerienės 7, Marijampolė</t>
  </si>
  <si>
    <t>Vasario  16-osios 6, Marijampolė</t>
  </si>
  <si>
    <t>Aušros 42A, Marijampolė</t>
  </si>
  <si>
    <t>Gedimino 9, Marijampolė</t>
  </si>
  <si>
    <t>Kauno 18, Marijampolė</t>
  </si>
  <si>
    <t>P.Butlerienės sk. 5, Marijampolė</t>
  </si>
  <si>
    <t>Birutës   2, Kelmė</t>
  </si>
  <si>
    <t>Mackevièiaus 29, Kelmė</t>
  </si>
  <si>
    <t>Birutës 4, Kelmė</t>
  </si>
  <si>
    <t>Dariaus ir Girëno 2A, Kelmė</t>
  </si>
  <si>
    <t>Dariaus ir Girëno 4, Kelmė</t>
  </si>
  <si>
    <t>Laucevièiaus 14, Kelmė</t>
  </si>
  <si>
    <t>Kooperacijos   28, Kelmė</t>
  </si>
  <si>
    <t>Vytauto Didþiojo   82, Kelmė</t>
  </si>
  <si>
    <t>Raseiniø   9, Kelmė</t>
  </si>
  <si>
    <t>Raseiniø   5A, Kelmė</t>
  </si>
  <si>
    <t>Raseiniø   3, Kelmė</t>
  </si>
  <si>
    <t>Mackevièiaus    2, Kelmė</t>
  </si>
  <si>
    <t>Þemaitës   45, Kelmė</t>
  </si>
  <si>
    <t>Raseiniø   7, Kelmė</t>
  </si>
  <si>
    <t>Vytauto Didþiojo   45, Kelmė</t>
  </si>
  <si>
    <t>Vytauto Didþiojo   61, Kelmė</t>
  </si>
  <si>
    <t>Þemaitës   51, Kelmė</t>
  </si>
  <si>
    <t>Vilties   14, Kelmė</t>
  </si>
  <si>
    <t>Masčio 54, Telšiai</t>
  </si>
  <si>
    <t>Lygumų 49, Telšiai</t>
  </si>
  <si>
    <t>Dariaus ir Girėno 13, Telšiai</t>
  </si>
  <si>
    <t>Vilniaus 34, Telšiai</t>
  </si>
  <si>
    <t>Žemaitės 26, Telšiai</t>
  </si>
  <si>
    <t>Masčio 44, Telšiai</t>
  </si>
  <si>
    <t>Rambyno 14A, Telšiai</t>
  </si>
  <si>
    <t>Vilniaus 2, Telšiai</t>
  </si>
  <si>
    <t>Kauno 7, Telšiai</t>
  </si>
  <si>
    <t>Saulėtekio 15, Telšiai</t>
  </si>
  <si>
    <t>Masčio 8, Telšiai</t>
  </si>
  <si>
    <t>Kęstučio 17, Telšiai</t>
  </si>
  <si>
    <t>Kęstučio 19, Telšiai</t>
  </si>
  <si>
    <t>Vilniaus 14, Telšiai</t>
  </si>
  <si>
    <t>Birutės 12, Telšiai</t>
  </si>
  <si>
    <t>Vilniaus 26, Telšiai</t>
  </si>
  <si>
    <t>Aušros 9, Rainiai</t>
  </si>
  <si>
    <t>Sedos 27, Telšiai</t>
  </si>
  <si>
    <t>Luokės 83, Telšiai</t>
  </si>
  <si>
    <t>Vilniaus 8, Telšiai</t>
  </si>
  <si>
    <t>Daukanto 31, Telšiai</t>
  </si>
  <si>
    <t>Stoties 8, Telšiai</t>
  </si>
  <si>
    <t>Stoties 33, Telšiai</t>
  </si>
  <si>
    <t>Respublikos 75, Telšiai</t>
  </si>
  <si>
    <t>Karaliaus Mindaugo 39, Telšiai</t>
  </si>
  <si>
    <t>Stoties 10, Telšiai</t>
  </si>
  <si>
    <t>Žemaitės 25, Telšiai</t>
  </si>
  <si>
    <t>Šviesos 31, Telšiai</t>
  </si>
  <si>
    <t>Saulėtekio 7, Telšiai</t>
  </si>
  <si>
    <t>Daukanto 14, Telšiai</t>
  </si>
  <si>
    <t>Tulpių 6, Telšiai</t>
  </si>
  <si>
    <t>Respublikos 8, Telšiai</t>
  </si>
  <si>
    <t>Sinagogos 4, Telšiai</t>
  </si>
  <si>
    <t>Sinagogos  2, Telšiai</t>
  </si>
  <si>
    <t>Daukanto 43, Telšiai</t>
  </si>
  <si>
    <t>Kęstučio 25, Telšiai</t>
  </si>
  <si>
    <t>Tulpių 4, Telšiai</t>
  </si>
  <si>
    <t>Kęstučio 21, Telšiai</t>
  </si>
  <si>
    <t>Luokės 33, Telšiai</t>
  </si>
  <si>
    <t>Šviesos 29, Telšiai</t>
  </si>
  <si>
    <t>Vienybės 70 Vilkaviškis</t>
  </si>
  <si>
    <t>Lauko 44 Vilkaviškis</t>
  </si>
  <si>
    <t>Aušros 8 Vilkaviškis</t>
  </si>
  <si>
    <t>Aušros 2 Vilkaviškis</t>
  </si>
  <si>
    <t>Vištyčio 36A Kybartai</t>
  </si>
  <si>
    <t>Kęstučio 11 Vilkaviškis</t>
  </si>
  <si>
    <t>Vienybės 72 Vilkaviškis</t>
  </si>
  <si>
    <t>Pilviškių 27 Vilkaviškis</t>
  </si>
  <si>
    <t>Statybininkų 4 Vilkaviškis</t>
  </si>
  <si>
    <t>Nepriklausomybės 52 Vilkaviškis</t>
  </si>
  <si>
    <t>Vilniaus 2 Vilkaviškis</t>
  </si>
  <si>
    <t>Aušros 4 Vilkaviškis</t>
  </si>
  <si>
    <t>Birutės 6 Vilkaviškis</t>
  </si>
  <si>
    <t>Nepriklausomybės 72 Vilkaviškis</t>
  </si>
  <si>
    <t>Aušros 10 Vilkaviškis</t>
  </si>
  <si>
    <t>Nepriklausomybės 78 Vilkaviškis</t>
  </si>
  <si>
    <t>Pilviškių 33 Vilkaviškis</t>
  </si>
  <si>
    <t>Gedimino 11 Vilkaviškis</t>
  </si>
  <si>
    <t>Nepriklausomybės 66 Vilkaviškis</t>
  </si>
  <si>
    <t>Birutės 4 Vilkaviškis</t>
  </si>
  <si>
    <t>Dvaro 21 Paežeriai</t>
  </si>
  <si>
    <t>Dvaro 9 Paežeriai</t>
  </si>
  <si>
    <t>Kęstučio 10 Vilkaviškis</t>
  </si>
  <si>
    <t>Gedimino 13 Vilkaviškis</t>
  </si>
  <si>
    <t>Vilniaus 4 Vilkaviškis</t>
  </si>
  <si>
    <t>Vilniaus 30A Virbalis</t>
  </si>
  <si>
    <t>Vištyčio 7 Virbalis</t>
  </si>
  <si>
    <t>K.Naumiesčio 11 Kybartai</t>
  </si>
  <si>
    <t>Maironio 32 Vilkaviškis</t>
  </si>
  <si>
    <t>Darvino 11 Kybartai</t>
  </si>
  <si>
    <t>Darvino 19 Kybartai</t>
  </si>
  <si>
    <t>S.Nėries 44 Vilkaviškis</t>
  </si>
  <si>
    <t>Mokyklos 3 Pilviškiai</t>
  </si>
  <si>
    <t>K.Naumiesčio 13 Kybartai</t>
  </si>
  <si>
    <t>Vasario 16-ios 4 Pilviškiai</t>
  </si>
  <si>
    <t>Vištyčio 2 Virbalis</t>
  </si>
  <si>
    <t>K.Naumiesčio 9A Kybartai</t>
  </si>
  <si>
    <t>Darvino 28 Kybartai</t>
  </si>
  <si>
    <t>Vasario 16-ios 10 Pilviškiai</t>
  </si>
  <si>
    <t>Dariaus ir Girėno 2A Kybartai</t>
  </si>
  <si>
    <t>Druskininkų 7a, Palanga</t>
  </si>
  <si>
    <t>Taikos 14, Palanga</t>
  </si>
  <si>
    <t>Sodų 39, Palanga</t>
  </si>
  <si>
    <t>Sodų 1, Palanga</t>
  </si>
  <si>
    <t>Kretingos 33, Palanga</t>
  </si>
  <si>
    <t>Medvalakio 7, Palanga</t>
  </si>
  <si>
    <t>Taikos 10, Palanga</t>
  </si>
  <si>
    <t>Druskininkų 16, Palanga</t>
  </si>
  <si>
    <t>Sodų 21, Palanga</t>
  </si>
  <si>
    <t>Valančiaus 8, Palanga</t>
  </si>
  <si>
    <t>Saulėtekio 8/6, Palanga</t>
  </si>
  <si>
    <t>Ganyklų 53, Palanga</t>
  </si>
  <si>
    <t>Medvalakio 15, Palanga</t>
  </si>
  <si>
    <t>Kretingos 7, Palanga</t>
  </si>
  <si>
    <t>S.Neries 7, Palanga</t>
  </si>
  <si>
    <t>Ganyklų 41, Palanga</t>
  </si>
  <si>
    <t>Janonio 28, Palanga</t>
  </si>
  <si>
    <t>Oškinio 8, Palanga</t>
  </si>
  <si>
    <t>Vytauto 81, Palanga</t>
  </si>
  <si>
    <t>Ganyklų 29, Palanga</t>
  </si>
  <si>
    <t>Biliūno 3, Palanga</t>
  </si>
  <si>
    <t>Vytauto 148, Palanga</t>
  </si>
  <si>
    <t>S.neries 5, Palanga</t>
  </si>
  <si>
    <t>Valančiaus 6, Palanga</t>
  </si>
  <si>
    <t>Ganyklų 59, Palanga</t>
  </si>
  <si>
    <t>Kretingos 6, Palanga</t>
  </si>
  <si>
    <t>Medžiotojų 10, Palanga</t>
  </si>
  <si>
    <t>Sodų 6, Palanga</t>
  </si>
  <si>
    <t>Vytauto 120, Palanga</t>
  </si>
  <si>
    <t>-</t>
  </si>
  <si>
    <t>NERAVŲ 39B, Druskininkai</t>
  </si>
  <si>
    <t>NERAVŲ 2A, Druskininkai</t>
  </si>
  <si>
    <t>GARDINO 56A, Druskininkai</t>
  </si>
  <si>
    <t>KOSCIUŠKOS 12, Druskininkai</t>
  </si>
  <si>
    <t>ŠILTNAMIŲ 18, Druskininkai</t>
  </si>
  <si>
    <t>NERAVŲ 2B, Druskininkai</t>
  </si>
  <si>
    <t>KLONIO 18A, Druskininkai</t>
  </si>
  <si>
    <t>DRUSKININKŲ 9, Druskininkai</t>
  </si>
  <si>
    <t>ŠILTNAMIŲ 22, Druskininkai</t>
  </si>
  <si>
    <t>DRUSKININKŲ 23, Druskininkai</t>
  </si>
  <si>
    <t>JAUNYSTĖS 20, Druskininkai</t>
  </si>
  <si>
    <t>M.K.ČIURLIONIO 68, Druskininkai</t>
  </si>
  <si>
    <t>VEISIEJŲ 22, Druskininkai</t>
  </si>
  <si>
    <t>M.K.ČIURLIONIO 89, Druskininkai</t>
  </si>
  <si>
    <t>LIEPŲ 2A, Druskininkai</t>
  </si>
  <si>
    <t>JAUNYSTĖS 22, Druskininkai</t>
  </si>
  <si>
    <t>VEISIEJŲ 16, Druskininkai</t>
  </si>
  <si>
    <t>NERAVŲ 39C, Druskininkai</t>
  </si>
  <si>
    <t>VEISIEJŲ 24, Druskininkai</t>
  </si>
  <si>
    <t>MERKINĖS 9, Druskininkai</t>
  </si>
  <si>
    <t>M.K.ČIURLIONIO 93, Druskininkai</t>
  </si>
  <si>
    <t>M.K.ČIURLIONIO 4A, Druskininkai</t>
  </si>
  <si>
    <t>M.K.ČIURLIONIO 20, Druskininkai</t>
  </si>
  <si>
    <t>SVEIKATOS 32, Druskininkai</t>
  </si>
  <si>
    <t>ANTAKALNIO 16, Druskininkai</t>
  </si>
  <si>
    <t>VEISIEJŲ 3, Druskininkai</t>
  </si>
  <si>
    <t>ATEITIES 30A, Druskininkai</t>
  </si>
  <si>
    <t>TAIKOS 3, Druskininkai</t>
  </si>
  <si>
    <t>VYTAUTO 15, Druskininkai</t>
  </si>
  <si>
    <t>GARDINO 24, Druskininkai</t>
  </si>
  <si>
    <t>GARDINO 18, Druskininkai</t>
  </si>
  <si>
    <t>M.K.ČIURLIONIO 64, Druskininkai</t>
  </si>
  <si>
    <t>NERAVŲ 27, Druskininkai</t>
  </si>
  <si>
    <t>ATEITIES 2, Druskininkai</t>
  </si>
  <si>
    <t>ANTAKALNIO 13, Druskininkai</t>
  </si>
  <si>
    <t>BARAVYKŲ 1B, Druskininkai</t>
  </si>
  <si>
    <t>NERAVŲ 29, Druskininkai</t>
  </si>
  <si>
    <t>VEISIEJŲ 7, Druskininkai</t>
  </si>
  <si>
    <t xml:space="preserve">M.K.ČIURLIONIO 4, Druskininkai </t>
  </si>
  <si>
    <t>Sodų g.10-ojo NSB, Mažeikiai</t>
  </si>
  <si>
    <t>MINDAUGO 13, Mažeikiai</t>
  </si>
  <si>
    <t>V.BURBOS 2, Mažeikiai</t>
  </si>
  <si>
    <t>NAFTININKŲ 8, Mažeikiai</t>
  </si>
  <si>
    <t>TYLIOJI 22, Mažeikiai</t>
  </si>
  <si>
    <t>Laisvės g.40-ojo NSB, Mažeikiai</t>
  </si>
  <si>
    <t>MINDAUGO 12, Mažeikiai</t>
  </si>
  <si>
    <t>P.VILEIŠIO 4, Mažeikiai</t>
  </si>
  <si>
    <t>NAFTININKŲ 76, Mažeikiai</t>
  </si>
  <si>
    <t>VYŠNIŲ 42, Mažeikiai</t>
  </si>
  <si>
    <t>ŽEMAITIJOS 9, Mažeikiai</t>
  </si>
  <si>
    <t>V.BURBOS 4, Mažeikiai</t>
  </si>
  <si>
    <t>SODŲ 24, Mažeikiai</t>
  </si>
  <si>
    <t>VENTOS 45, Mažeikiai</t>
  </si>
  <si>
    <t>PAVASARIO 14, Mažeikiai</t>
  </si>
  <si>
    <t>GAMYKLOS 3, Mažeikiai</t>
  </si>
  <si>
    <t>RESPUBLIKOS 20, Mažeikiai</t>
  </si>
  <si>
    <t>GAMYKLOS 6, Mažeikiai</t>
  </si>
  <si>
    <t>P.VILEIŠIO 2, Mažeikiai</t>
  </si>
  <si>
    <t>NAFTININKŲ 16, Mažeikiai</t>
  </si>
  <si>
    <t>SEDOS 35, Mažeikiai</t>
  </si>
  <si>
    <t>PAVENČIŲ 31-ojo NSB, Mažeikiai</t>
  </si>
  <si>
    <t>BAŽNYČIOS 11, Mažeikiai</t>
  </si>
  <si>
    <t>ŽEMAITIJOS 18, Mažeikiai</t>
  </si>
  <si>
    <t>STOTIES 8, Mažeikiai</t>
  </si>
  <si>
    <t>VENTOS 87, Mažeikiai</t>
  </si>
  <si>
    <t>BAŽNYČIOS 15 Viekšniai, Mažeikiai</t>
  </si>
  <si>
    <t>ŽEMAITIJOS 24, Mažeikiai</t>
  </si>
  <si>
    <t>PAVASARIO 16, Mažeikiai</t>
  </si>
  <si>
    <t>GEDIMINO 9, Mažeikiai</t>
  </si>
  <si>
    <t>P.VILEIŠIO 3-ojo bendrija, Mažeikiai</t>
  </si>
  <si>
    <t>DRAUGYSTĖS 16, Mažeikiai</t>
  </si>
  <si>
    <t>MINDAUGO 4, Mažeikiai</t>
  </si>
  <si>
    <t>MAŽEIKIŲ 6 Viekšniai, Mažeikiai</t>
  </si>
  <si>
    <t>LAISVĖS  17, Mažeikiai</t>
  </si>
  <si>
    <t>SODŲ 11, Mažeikiai</t>
  </si>
  <si>
    <t>VASARIO 16-OSIOS 8, Mažeikiai</t>
  </si>
  <si>
    <t>P.VILEIŠIO 6, Mažeikiai</t>
  </si>
  <si>
    <t>LAISVĖS 32, Mažeikiai</t>
  </si>
  <si>
    <t>MINDAUGO 20, Mažeikiai</t>
  </si>
  <si>
    <t>Aušros g. 89 IIk.(renov.),Utena</t>
  </si>
  <si>
    <t>Kudirkos g. 22, Utena</t>
  </si>
  <si>
    <t>Aušros g. 99(renov.), Utena</t>
  </si>
  <si>
    <t>iki1992</t>
  </si>
  <si>
    <t>Aukštakalnio g. 90, Utena</t>
  </si>
  <si>
    <t>Aušros g. 89 Ik.(renov.)Utena</t>
  </si>
  <si>
    <t>Krašuonos g. 1, Utena</t>
  </si>
  <si>
    <t>Aušros g. 83, Utena</t>
  </si>
  <si>
    <t>Aukštakalnio g. 108 Utena</t>
  </si>
  <si>
    <t>Sėlių g. 59, Utena</t>
  </si>
  <si>
    <t>Vaižganto g. 70, Utena</t>
  </si>
  <si>
    <t>Sėlių g. 67, Utena</t>
  </si>
  <si>
    <t>Aukštalkalnio g .72, Utena</t>
  </si>
  <si>
    <t>Vaižganto g. 58, Utena</t>
  </si>
  <si>
    <t>Aušros g .93 I k, Utena</t>
  </si>
  <si>
    <t>Vaižganto g. 60, Utena</t>
  </si>
  <si>
    <t>Aušros g. 93 IIk. Utena</t>
  </si>
  <si>
    <t>Aukštaičių g. 11, Utena</t>
  </si>
  <si>
    <t>Užpalių g. 68, Utena</t>
  </si>
  <si>
    <t>Aušros g. 69 IIk, Utena</t>
  </si>
  <si>
    <t>Krašuonos g. 13, Utena</t>
  </si>
  <si>
    <t>Taikos g. 7, Utena</t>
  </si>
  <si>
    <t>Taikos g. 50, Utena</t>
  </si>
  <si>
    <t>Aukštakalnio g. 6,8, Utena</t>
  </si>
  <si>
    <t>Basanavičiaus g. 108, Utena</t>
  </si>
  <si>
    <t>Basanavičiaus g. 110b, Utena</t>
  </si>
  <si>
    <t>Kęstučio g. 9, Utena</t>
  </si>
  <si>
    <t>Taikos g. 86, Utena</t>
  </si>
  <si>
    <t>Aušros g. 82, Utena</t>
  </si>
  <si>
    <t>Kęstučio g. 6, Utena</t>
  </si>
  <si>
    <t>Utenio a. 5, Utena</t>
  </si>
  <si>
    <t>Taikos g. 84, Utena</t>
  </si>
  <si>
    <t>Taikos g. 63, Utena</t>
  </si>
  <si>
    <t>Užpalių g. 101, Utena</t>
  </si>
  <si>
    <t>Taikos g. 90, Utena</t>
  </si>
  <si>
    <t>Užpalių g. 88, Utena</t>
  </si>
  <si>
    <t>Basanavičiaus g. 110a, Utena</t>
  </si>
  <si>
    <t>Kauno g. 27, Utena</t>
  </si>
  <si>
    <t>Donelaičio g. 12, Utena</t>
  </si>
  <si>
    <t>Bažnyčios g. 4, Utena</t>
  </si>
  <si>
    <t>Aukštakalnio g. 10,12, Utena</t>
  </si>
  <si>
    <t>Vaišvilos 9 ( renov.), Plungė</t>
  </si>
  <si>
    <t>Vaižganto 96( renov.), Plungė</t>
  </si>
  <si>
    <t>Jucio 30 ( renov.), Plungė</t>
  </si>
  <si>
    <t>Vaišvilos 31( renov.), Plungė</t>
  </si>
  <si>
    <t>Vaišvilos 25 ( renov.), Plungė</t>
  </si>
  <si>
    <t>Končiaus 7A(skaitikliai butuose), Plungė</t>
  </si>
  <si>
    <t>Vaišvilos 23( renov.), Plungė</t>
  </si>
  <si>
    <t>Končiaus 7(skaitikliai butuose), Plungė</t>
  </si>
  <si>
    <t>Mačernio 12(dal.renovuot.), Plungė</t>
  </si>
  <si>
    <t>Jucio 14 (dalinai renovuotas), Plungė</t>
  </si>
  <si>
    <t>Mačernio 53, Plungė</t>
  </si>
  <si>
    <t>Mačernio 51, Plungė</t>
  </si>
  <si>
    <t>Jucio 22, Plungė</t>
  </si>
  <si>
    <t>Mačernio 10, Plungė</t>
  </si>
  <si>
    <t>Jucio 12, Plungė</t>
  </si>
  <si>
    <t>Mačernio 47, Plungė</t>
  </si>
  <si>
    <t>Mačernio 6, Plungė</t>
  </si>
  <si>
    <t>Mačernio 8, Plungė</t>
  </si>
  <si>
    <t>Vaižganto 85, Plungė</t>
  </si>
  <si>
    <t>Jucio 10, Plungė</t>
  </si>
  <si>
    <t>Gandingos 10, Plungė</t>
  </si>
  <si>
    <t>A.Jucio 28, Plungė</t>
  </si>
  <si>
    <t>Gandingos 12, Plungė</t>
  </si>
  <si>
    <t>Senamiesčio 2, Plungė</t>
  </si>
  <si>
    <t>Dariaus ir Girėno 51, Plungė</t>
  </si>
  <si>
    <t>Vytauto 27, Plungė</t>
  </si>
  <si>
    <t>Dariaus Ir Girėno 35, Plungė</t>
  </si>
  <si>
    <t>Lentpjūvės 6, Plungė</t>
  </si>
  <si>
    <t>Dariaus Ir Girėno 33, Plungė</t>
  </si>
  <si>
    <t>S. Neries 4, Plungė</t>
  </si>
  <si>
    <t>Jaunystės 35 /renovuotas, Radviliškis</t>
  </si>
  <si>
    <t>Jaunystės 20 /renovuotas/, Radviliškis</t>
  </si>
  <si>
    <t>Jaunystės 31, Radviliškis</t>
  </si>
  <si>
    <t>Laisvės al. 38, Radviliškis</t>
  </si>
  <si>
    <t>Kęstučio 11a, Radviliškis</t>
  </si>
  <si>
    <t>Jaunystės 37, Radviliškis</t>
  </si>
  <si>
    <t>Jaunystės 20, Radviliškis</t>
  </si>
  <si>
    <t>Maironio 6, Radviliškis</t>
  </si>
  <si>
    <t>Maironio 11a, Radviliškis</t>
  </si>
  <si>
    <t>Naujoji 8, Radviliškis</t>
  </si>
  <si>
    <t>Jaunystės 18, Radviliškis</t>
  </si>
  <si>
    <t>Naujoji 2, Radviliškis</t>
  </si>
  <si>
    <t>Dariaus ir Girėno 30b, Radviliškis</t>
  </si>
  <si>
    <t>marijošiaus 1, Radviliškis</t>
  </si>
  <si>
    <t>Vytauto 6, Radviliškis</t>
  </si>
  <si>
    <t>Bernotėno 3, Radviliškis</t>
  </si>
  <si>
    <r>
      <t xml:space="preserve">Dariaus ir Girėno g. 32A </t>
    </r>
    <r>
      <rPr>
        <i/>
        <sz val="8"/>
        <color indexed="10"/>
        <rFont val="Arial"/>
        <family val="2"/>
      </rPr>
      <t>(renov.)</t>
    </r>
    <r>
      <rPr>
        <sz val="8"/>
        <rFont val="Arial"/>
        <family val="2"/>
      </rPr>
      <t>, Tauragė</t>
    </r>
  </si>
  <si>
    <r>
      <t xml:space="preserve">J.Tumo-Vaižganto g. 134 </t>
    </r>
    <r>
      <rPr>
        <i/>
        <sz val="8"/>
        <color indexed="10"/>
        <rFont val="Arial"/>
        <family val="2"/>
      </rPr>
      <t>(renov.), Tauragė</t>
    </r>
  </si>
  <si>
    <r>
      <t xml:space="preserve">Prezidento g. 82 </t>
    </r>
    <r>
      <rPr>
        <i/>
        <sz val="8"/>
        <color indexed="10"/>
        <rFont val="Arial"/>
        <family val="2"/>
      </rPr>
      <t xml:space="preserve">(renov.), </t>
    </r>
    <r>
      <rPr>
        <i/>
        <sz val="8"/>
        <rFont val="Arial"/>
        <family val="2"/>
      </rPr>
      <t>Tauragė</t>
    </r>
  </si>
  <si>
    <r>
      <t xml:space="preserve">Dainavos g. 5 </t>
    </r>
    <r>
      <rPr>
        <i/>
        <sz val="8"/>
        <color indexed="10"/>
        <rFont val="Arial"/>
        <family val="2"/>
      </rPr>
      <t>(renov.),</t>
    </r>
    <r>
      <rPr>
        <i/>
        <sz val="8"/>
        <rFont val="Arial"/>
        <family val="2"/>
      </rPr>
      <t xml:space="preserve"> Tauragė</t>
    </r>
  </si>
  <si>
    <r>
      <t xml:space="preserve">Prezidento g. 65 </t>
    </r>
    <r>
      <rPr>
        <i/>
        <sz val="8"/>
        <color indexed="10"/>
        <rFont val="Arial"/>
        <family val="2"/>
      </rPr>
      <t xml:space="preserve">(renov.), </t>
    </r>
    <r>
      <rPr>
        <i/>
        <sz val="8"/>
        <rFont val="Arial"/>
        <family val="2"/>
      </rPr>
      <t>Tauragė</t>
    </r>
  </si>
  <si>
    <r>
      <t xml:space="preserve">Ateities takas 16 </t>
    </r>
    <r>
      <rPr>
        <i/>
        <sz val="8"/>
        <color indexed="10"/>
        <rFont val="Arial"/>
        <family val="2"/>
      </rPr>
      <t xml:space="preserve">(renov.), </t>
    </r>
    <r>
      <rPr>
        <sz val="8"/>
        <rFont val="Arial"/>
        <family val="2"/>
      </rPr>
      <t>Tauragė</t>
    </r>
  </si>
  <si>
    <r>
      <t xml:space="preserve">J.Tumo-Vaižganto g. 129B </t>
    </r>
    <r>
      <rPr>
        <i/>
        <sz val="8"/>
        <color indexed="10"/>
        <rFont val="Arial"/>
        <family val="2"/>
      </rPr>
      <t>(renov.), Tauragė</t>
    </r>
  </si>
  <si>
    <r>
      <t xml:space="preserve">Gedimino g. 8 </t>
    </r>
    <r>
      <rPr>
        <sz val="8"/>
        <color indexed="10"/>
        <rFont val="Arial"/>
        <family val="2"/>
      </rPr>
      <t>(</t>
    </r>
    <r>
      <rPr>
        <i/>
        <sz val="8"/>
        <color indexed="10"/>
        <rFont val="Arial"/>
        <family val="2"/>
      </rPr>
      <t>dalinai renov.), Tauragė</t>
    </r>
  </si>
  <si>
    <r>
      <t xml:space="preserve">Dariaus ir Girėno g. 18 </t>
    </r>
    <r>
      <rPr>
        <i/>
        <sz val="8"/>
        <color indexed="10"/>
        <rFont val="Arial"/>
        <family val="2"/>
      </rPr>
      <t>(renov.), Tauragė</t>
    </r>
  </si>
  <si>
    <r>
      <t xml:space="preserve">Vytauto g. 75 </t>
    </r>
    <r>
      <rPr>
        <i/>
        <sz val="8"/>
        <color indexed="10"/>
        <rFont val="Arial"/>
        <family val="2"/>
      </rPr>
      <t>(renov.), Tauragė</t>
    </r>
  </si>
  <si>
    <t>Gedimino g. 23, Tauragė</t>
  </si>
  <si>
    <t>Dariaus ir Girėno g. 20, Tauragė</t>
  </si>
  <si>
    <t>Dariaus ir Girėno g. 26A, Tauragė</t>
  </si>
  <si>
    <t>Birutės g. 36, Tauragė</t>
  </si>
  <si>
    <t>Vaižganto g. 118, Tauragė</t>
  </si>
  <si>
    <t>Dainavos g. 7 , Tauragė</t>
  </si>
  <si>
    <t>Dariaus ir Girėno g. 34, Tauragė</t>
  </si>
  <si>
    <t>Miško g. 8, Tauragė</t>
  </si>
  <si>
    <t>Žemaitės g. 3, Tauragė</t>
  </si>
  <si>
    <t>Žemaitės g. 32, Tauragė</t>
  </si>
  <si>
    <t>Aerodromo g. 11, Tauragė</t>
  </si>
  <si>
    <t>Vytauto g. 4B, Tauragė</t>
  </si>
  <si>
    <t>Ateities takas 18, Tauragė</t>
  </si>
  <si>
    <t>Gedimino g. 32, Tauragė</t>
  </si>
  <si>
    <t>Vasario 16-osios g. 5, Tauragė</t>
  </si>
  <si>
    <t>Vasario 16-osios g. 8, Tauragė</t>
  </si>
  <si>
    <t>Prezidento g. 67, Tauragė</t>
  </si>
  <si>
    <t>Vasario 16-osios g. 10, Tauragė</t>
  </si>
  <si>
    <t>Respublikos g. 4, Tauragė</t>
  </si>
  <si>
    <t>Dariaus ir Girėno g. 24, Tauragė</t>
  </si>
  <si>
    <t>Vasario 16-osios g. 3, Tauragė</t>
  </si>
  <si>
    <t>Dariaus ir Girėno g. 38, Tauragė</t>
  </si>
  <si>
    <t>Vytauto g. 62, Tauragė</t>
  </si>
  <si>
    <t>Dariaus ir Girėno g. 16A, Tauragė</t>
  </si>
  <si>
    <t>V. Kudirkos g. 5, Tauragė</t>
  </si>
  <si>
    <t>Dariaus ir Grėno g. 4, Tauragė</t>
  </si>
  <si>
    <t>Marcinkonių g. 12, Varėna</t>
  </si>
  <si>
    <t>Naujųjų Valkininkų 2, Varėna</t>
  </si>
  <si>
    <t>Renov.</t>
  </si>
  <si>
    <t>Naujųjų Valkininkų 1, Varėna</t>
  </si>
  <si>
    <t>M.K.Čiurlionio g. 55, Varėna</t>
  </si>
  <si>
    <t>Dzūkų g. 3, Varėna</t>
  </si>
  <si>
    <t>Aušros g. 13, Varėna</t>
  </si>
  <si>
    <t>Vytauto g. 19A, Varėna</t>
  </si>
  <si>
    <t>Vytauto g. 42, Varėna</t>
  </si>
  <si>
    <t>Aušros g. 1, Varėna</t>
  </si>
  <si>
    <t>Vytauto g. 48, Varėna</t>
  </si>
  <si>
    <t>Z.Voronecko g. 6, Varėna</t>
  </si>
  <si>
    <t>Vytauto g. 44, Varėna</t>
  </si>
  <si>
    <t>Savanorių g. 18, Varėna</t>
  </si>
  <si>
    <t>Savanorių g. 22, Varėna</t>
  </si>
  <si>
    <t>Vytauto g. 32, Varėna</t>
  </si>
  <si>
    <t>Dzūkų g. 44, Varėna</t>
  </si>
  <si>
    <t>Vasario 16-osios g. 10, Varėna</t>
  </si>
  <si>
    <t>Sporto g. 14, Varėna</t>
  </si>
  <si>
    <t>V.Krėvės g. 4, Varėna</t>
  </si>
  <si>
    <t>Kalno g. 9, Matuizos, Varėna</t>
  </si>
  <si>
    <t>Kalno g. 17, Matuizos, Varėna</t>
  </si>
  <si>
    <t>J.Basanavičiaus g. 1A, Varėna</t>
  </si>
  <si>
    <t>Vytauto g. 25, Varėna</t>
  </si>
  <si>
    <t>Kalno g. 29, Matuizos, Varėna</t>
  </si>
  <si>
    <t>Kalno g. 19, Matuizos, Varėna</t>
  </si>
  <si>
    <t>Vytauto g. 58, Varėna</t>
  </si>
  <si>
    <t>Melioratorių g. 3, Varėna</t>
  </si>
  <si>
    <t>Kalno g. 3, Matuizos, Varėna</t>
  </si>
  <si>
    <t>Kalno g. 5, Matuizos, Varėna</t>
  </si>
  <si>
    <t>Vasario 16-osios g. 4, Varėna</t>
  </si>
  <si>
    <t>Vasario 16-osios g. 11, Varėna</t>
  </si>
  <si>
    <t>M.K.Čiurlionio g. 70, Varėna</t>
  </si>
  <si>
    <t>Kalno g. 1, Matuizos, Varėna</t>
  </si>
  <si>
    <t>M.K.Čiurlionio g. 37, Varėna</t>
  </si>
  <si>
    <t>Vasario 16-osios g. 13, Varėna</t>
  </si>
  <si>
    <t>Vytauto g. 7, Varėna</t>
  </si>
  <si>
    <t>Birutės g. 10, Kaišiadorys</t>
  </si>
  <si>
    <t>iki 1992m.</t>
  </si>
  <si>
    <t>Parko g. 8, Stasiūnai</t>
  </si>
  <si>
    <t>Rožių g. 1, Žiežmariai</t>
  </si>
  <si>
    <t>Žąslių g. 62A, Žiežmariai</t>
  </si>
  <si>
    <t>Parko g. 6, Stasiūnai</t>
  </si>
  <si>
    <t>Sodų 8, Elektrėnai</t>
  </si>
  <si>
    <t>Taikos 4, Elektrėnai</t>
  </si>
  <si>
    <t>Sodų 11, Elektrėnai</t>
  </si>
  <si>
    <t>Sodų 4, Elektrėnai</t>
  </si>
  <si>
    <t>Taikos 5, Elektrėnai</t>
  </si>
  <si>
    <t>Šarkinės 15, Elektrėnai</t>
  </si>
  <si>
    <t>Trakų 16, Elektrėnai</t>
  </si>
  <si>
    <t>Draugystės 6, Elektrėnai</t>
  </si>
  <si>
    <t>Draugystės 12, Elektrėnai</t>
  </si>
  <si>
    <t>Sodų 6, Elektrėnai</t>
  </si>
  <si>
    <t>Šviesos 18, Elektrėnai</t>
  </si>
  <si>
    <t>Pergalės 3, Elektrėnai</t>
  </si>
  <si>
    <t>Pergalės 47, Elektrėnai</t>
  </si>
  <si>
    <t>Saulės 8, Elektrėnai</t>
  </si>
  <si>
    <t>Pergalės 53, Elektrėnai</t>
  </si>
  <si>
    <t>Saulės 22, Elektrėnai</t>
  </si>
  <si>
    <t>Šarkinės 13, Elektrėnai</t>
  </si>
  <si>
    <t>Pergalės 23, Elektrėnai</t>
  </si>
  <si>
    <t>Saulės 3, Elektrėnai</t>
  </si>
  <si>
    <t>Saulės 7, Elektrėnai</t>
  </si>
  <si>
    <t>Saulės 23, Elektrėnai</t>
  </si>
  <si>
    <t>Saulės 6, Elektrėnai</t>
  </si>
  <si>
    <t>Trakų 17, Elektrėnai</t>
  </si>
  <si>
    <t>Šviesos 4, Elektrėnai</t>
  </si>
  <si>
    <t>Trakų 29, Elektrėnai</t>
  </si>
  <si>
    <t>Saulės 11, Elektrėnai</t>
  </si>
  <si>
    <t>Draugystės 25, Elektrėnai</t>
  </si>
  <si>
    <t>Trakų 11, Elektrėnai</t>
  </si>
  <si>
    <t>Trakų 10, Elektrėnai</t>
  </si>
  <si>
    <t>Turistų g. 49, Ignalina</t>
  </si>
  <si>
    <t>Aukštaičių g. 32, Ignalina</t>
  </si>
  <si>
    <t>Ateities g. 22, Ignalina</t>
  </si>
  <si>
    <t>Ateities g. 35, Ignalina</t>
  </si>
  <si>
    <t>Ateities g. 10, Ignalina</t>
  </si>
  <si>
    <t>Smėlio g. 26, Ignalina</t>
  </si>
  <si>
    <t>Ateities g. 11a, Ignalina</t>
  </si>
  <si>
    <t>Turistų g.11a, Ignalina</t>
  </si>
  <si>
    <t xml:space="preserve">Melioratorių g. 4, Vidiškių k. Ignalinos raj. </t>
  </si>
  <si>
    <t xml:space="preserve">Sodų g. 1, Vidiškių k. , Ignalinos raj. </t>
  </si>
  <si>
    <t>Statybininkų 19, Prienai(ren.)</t>
  </si>
  <si>
    <t>Jaunimo 13, Balbieriškis</t>
  </si>
  <si>
    <t>Parko 12, Balbieriškis</t>
  </si>
  <si>
    <t>Kęstučio 5, Prienai(renov.)</t>
  </si>
  <si>
    <t>Parko 10, Balbieriškis</t>
  </si>
  <si>
    <t>Stadiono 24A ,Prienai</t>
  </si>
  <si>
    <t>Jaunimo 17, Balbieriškis</t>
  </si>
  <si>
    <t>Stadiono 8 1L.,Prienai</t>
  </si>
  <si>
    <t>Kęstučio 73, Prienai</t>
  </si>
  <si>
    <t>Statybininkų 9 1L.,Prienai</t>
  </si>
  <si>
    <t>Basanavičiaus 15, Prienai</t>
  </si>
  <si>
    <t>Stadiono 4 1L.,Prienai</t>
  </si>
  <si>
    <t>Vaitkaus 12, Prienai</t>
  </si>
  <si>
    <t>Basanavičiaus 19, Prienai</t>
  </si>
  <si>
    <t>Jaunimo 19, Balbieriškis</t>
  </si>
  <si>
    <t>Vytauto 14, Prienai</t>
  </si>
  <si>
    <t>Basanavičiaus 20A, Prienai</t>
  </si>
  <si>
    <t>Stadiono 8 3L.,Prienai</t>
  </si>
  <si>
    <t>Stadiono 14 2L.,Prienai</t>
  </si>
  <si>
    <t>Vytauto 13, Prienai</t>
  </si>
  <si>
    <t>Stadiono 20 3L.,Prienai</t>
  </si>
  <si>
    <t>Brundzos 6,Prienai</t>
  </si>
  <si>
    <t>Vytauto 36, Prienai</t>
  </si>
  <si>
    <t>Vytauto 25, Prienai</t>
  </si>
  <si>
    <t>Brundzos 8,Prienai</t>
  </si>
  <si>
    <t>Brundzos 7,Prienai</t>
  </si>
  <si>
    <t>Janonio 5, Prienai</t>
  </si>
  <si>
    <t>Brundzos 10,Prienai</t>
  </si>
  <si>
    <t>Laisvės a.3/14,Prienai</t>
  </si>
  <si>
    <t>Birutės 4, Prienai, Prienai</t>
  </si>
  <si>
    <t>Stadiono 13 Akmenė (renov.)</t>
  </si>
  <si>
    <t>Stadiono 7 Akmenė (renov.)</t>
  </si>
  <si>
    <t>Ramučių 39 Naujoji Akmenė (renov.)</t>
  </si>
  <si>
    <t>Nepriklausomybės 18 Naujoji Akmenė (renov.)</t>
  </si>
  <si>
    <t>Nepriklausomybės 27A Naujoji Akmenė (renov.)</t>
  </si>
  <si>
    <t>Nepriklausomybės 8 Naujoji Akmenė (renov.)</t>
  </si>
  <si>
    <t>Nepriklausomybės 12 Naujoji Akmenė (renov.)</t>
  </si>
  <si>
    <t>Žemaičių 45, Venta</t>
  </si>
  <si>
    <t>Ramučių 38 Naujoji Akmenė</t>
  </si>
  <si>
    <t>V.Kudirkos 22 Naujoji Akmenė</t>
  </si>
  <si>
    <t>Respublikos 21 Naujoji Akmenė</t>
  </si>
  <si>
    <t>L. Pelėdos 11 Naujoji Akmenė</t>
  </si>
  <si>
    <t>Bausko 5 Venta</t>
  </si>
  <si>
    <t>Žalgirio 27 Naujoji Akmenė</t>
  </si>
  <si>
    <t>Bausko 3 Venta</t>
  </si>
  <si>
    <t>Vytauto 7, Lentvaris</t>
  </si>
  <si>
    <t xml:space="preserve">       -</t>
  </si>
  <si>
    <t>Karaimų 24, Trakai</t>
  </si>
  <si>
    <t>Birutės 29, Trakai</t>
  </si>
  <si>
    <t>Vienuolyno 11A, Trakai</t>
  </si>
  <si>
    <t>Klevų al. 59, Lentvais</t>
  </si>
  <si>
    <t>Ežero 8, Lentvaris</t>
  </si>
  <si>
    <t>Ežero 5, Lentvaris</t>
  </si>
  <si>
    <t>Sodų 23A, Lentvaris</t>
  </si>
  <si>
    <t xml:space="preserve">      -</t>
  </si>
  <si>
    <t>Mindaugo 1A, Trakai</t>
  </si>
  <si>
    <t>Mindaugo 22, Trakai</t>
  </si>
  <si>
    <t>Vienuolyno 11, Trakai</t>
  </si>
  <si>
    <t>Mindaugo 18, Trakai</t>
  </si>
  <si>
    <t>Ežero 12, Lentvaris</t>
  </si>
  <si>
    <t>Birutės 43, Trakai</t>
  </si>
  <si>
    <t>Ežero 5A, Lentvaris</t>
  </si>
  <si>
    <t>Ežero 3A, Lentvaris</t>
  </si>
  <si>
    <t>Geležinkelio 28, Lentvaris</t>
  </si>
  <si>
    <t>N.Sodybos 38, Lentvaris</t>
  </si>
  <si>
    <t xml:space="preserve">  -</t>
  </si>
  <si>
    <t>N.Sodybos 27, Lentvaris</t>
  </si>
  <si>
    <t>Klevų al. 34, Lentvaris</t>
  </si>
  <si>
    <t>Ežero 6, Lentvaris</t>
  </si>
  <si>
    <t>Mindaugo 6, Trakai</t>
  </si>
  <si>
    <t>Birutės 45, Trakai</t>
  </si>
  <si>
    <t>Mindaugo 4, Trakai</t>
  </si>
  <si>
    <t>Mindaugo 16, Trakai</t>
  </si>
  <si>
    <t>Konduktorių 6A, Lentvaris</t>
  </si>
  <si>
    <t>Mindaugo 11B, Lentvaris</t>
  </si>
  <si>
    <t>Pakalnės 23, Lentvaris</t>
  </si>
  <si>
    <t>Kilimų 6, Lentvaris</t>
  </si>
  <si>
    <t>Mindaugo 20, Trakai</t>
  </si>
  <si>
    <t>iki1960</t>
  </si>
  <si>
    <t>Algirdo 27, Raseiniai</t>
  </si>
  <si>
    <t>Vaižganto 5A, Raseiniai</t>
  </si>
  <si>
    <t>Vytauto Didžiojo 41, Raseiniai</t>
  </si>
  <si>
    <t>Ateities 19, Raseiniai</t>
  </si>
  <si>
    <t>Algirdo 25, Raseiniai</t>
  </si>
  <si>
    <t>Vytauto Didžiojo 31, Raseiniai</t>
  </si>
  <si>
    <t>Dariaus ir Girėno 23, Raseiniai</t>
  </si>
  <si>
    <t>Dariaus ir Girėno 28, Raseiniai</t>
  </si>
  <si>
    <t>Dubysos 3, Raseiniai</t>
  </si>
  <si>
    <t>Stonų 3, Raseiniai</t>
  </si>
  <si>
    <t>Algirdo 29, Raseiniai</t>
  </si>
  <si>
    <t>Dubysos 16, Raseiniai</t>
  </si>
  <si>
    <t>Rytų 4, Raseiniai</t>
  </si>
  <si>
    <t>Dubysos 1, Raseiniai</t>
  </si>
  <si>
    <t>Jaunimo 14 , Raseiniai</t>
  </si>
  <si>
    <t>V.Kudirkos 11, Raseiniai</t>
  </si>
  <si>
    <t>Vaižganto 1, Raseiniai</t>
  </si>
  <si>
    <t>Rytų 2, Raseiniai</t>
  </si>
  <si>
    <t>Jaunimo 12, Raseiniai</t>
  </si>
  <si>
    <t>Dominikonų 4, Raseiniai</t>
  </si>
  <si>
    <t>Muziejaus 6, Raseiniai</t>
  </si>
  <si>
    <t>Dariaus ir Girėno 26, Raseiniai</t>
  </si>
  <si>
    <t>V.Kudirkos 9, Raseiniai</t>
  </si>
  <si>
    <t>Vytauto Didžiojo 3, Raseiniai</t>
  </si>
  <si>
    <t>D.Poškos g., Šilalė</t>
  </si>
  <si>
    <t>J.Basanavičiausd g.18, Šilalė</t>
  </si>
  <si>
    <t>Kovo 11-osios g.2, Šilalė</t>
  </si>
  <si>
    <t>Dariaus ir Girėno g.51, Šilalė</t>
  </si>
  <si>
    <t>Dariaus ir Girėno g.59, Šilalė</t>
  </si>
  <si>
    <t>Pergalės 4, Pakruojis</t>
  </si>
  <si>
    <t>P.Mašioto 53, Pakruojis</t>
  </si>
  <si>
    <t>P.Mašioto 43B, Pakruojis</t>
  </si>
  <si>
    <t>Dariaus ir Girėno 51, Pakruojis</t>
  </si>
  <si>
    <t>P.Mašioto 51, Pakruojis</t>
  </si>
  <si>
    <t>Kęstučio 1, Pakruojis</t>
  </si>
  <si>
    <t>P.Mašioto 65, Pakruojis</t>
  </si>
  <si>
    <t>P.Mašioto 37, Pakruojis</t>
  </si>
  <si>
    <t>Pergalės 14, Pakruojis</t>
  </si>
  <si>
    <t>P.Mašioto 41, Pakruojis</t>
  </si>
  <si>
    <t>P.Mašioto 61, Pakruojis</t>
  </si>
  <si>
    <t>Kruojos 8, Pakruojis</t>
  </si>
  <si>
    <t>S.Ušinsko 31A, Pakruojis</t>
  </si>
  <si>
    <t>Saulėtekio 40B, Pakruojis</t>
  </si>
  <si>
    <t>Vilniaus 31, Pakruojis</t>
  </si>
  <si>
    <t>Vilniaus 28, Pakruojis</t>
  </si>
  <si>
    <t>V.Didžiojo 27, Pakruojis</t>
  </si>
  <si>
    <t>Saulėtekio 46, Pakruojis</t>
  </si>
  <si>
    <t>Taikos 18A, Pakruojis</t>
  </si>
  <si>
    <t>l.Giros 8, Pakruojis</t>
  </si>
  <si>
    <t>Mažoji 1, Pakruojo k.</t>
  </si>
  <si>
    <t>V.Didžiojo 35, Pakruojis</t>
  </si>
  <si>
    <t>Vasario 16-osios 13,Pakruojis</t>
  </si>
  <si>
    <t>Kęstučio 8, Pakruojis</t>
  </si>
  <si>
    <t>Vasario 16-osios 15,Pakruojis</t>
  </si>
  <si>
    <t>S.Ušinsko 22, Pakruojis</t>
  </si>
  <si>
    <t>Vilniaus 34, Pakruojis</t>
  </si>
  <si>
    <t>Taikos 26, Pakruojis</t>
  </si>
  <si>
    <t>Basanavičiaus g.48, Anykščiai</t>
  </si>
  <si>
    <t>Basanavičiaus g. 50, Anykščiai</t>
  </si>
  <si>
    <t>Biliūno g.8, Anykščiai</t>
  </si>
  <si>
    <t>Biliūno g.10, Anykščiai</t>
  </si>
  <si>
    <t>Dariaus ir Girėno g.5, Anykščiai</t>
  </si>
  <si>
    <t>Statybininkų g.19, Anykščiai</t>
  </si>
  <si>
    <t>Statybininkų g. 23, Anykščiai</t>
  </si>
  <si>
    <t>Biliūno g.20, Anykščiai</t>
  </si>
  <si>
    <t>Statybininkų g. 21, Anykščiai</t>
  </si>
  <si>
    <t xml:space="preserve">Basanavičiaus g. 60, Anykščiai </t>
  </si>
</sst>
</file>

<file path=xl/styles.xml><?xml version="1.0" encoding="utf-8"?>
<styleSheet xmlns="http://schemas.openxmlformats.org/spreadsheetml/2006/main">
  <numFmts count="2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000"/>
    <numFmt numFmtId="165" formatCode="0.000"/>
    <numFmt numFmtId="166" formatCode="0.0"/>
    <numFmt numFmtId="167" formatCode="0.00000"/>
    <numFmt numFmtId="168" formatCode="0.0%"/>
    <numFmt numFmtId="169" formatCode="0.000000"/>
    <numFmt numFmtId="170" formatCode="0.0000000"/>
    <numFmt numFmtId="171" formatCode="0.00000000"/>
    <numFmt numFmtId="172" formatCode="0.000000000"/>
    <numFmt numFmtId="173" formatCode="_-* #,##0.0000\ _L_t_-;\-* #,##0.0000\ _L_t_-;_-* &quot;-&quot;??\ _L_t_-;_-@_-"/>
    <numFmt numFmtId="174" formatCode="#,##0.00000\ _L_t"/>
    <numFmt numFmtId="175" formatCode="[$-427]yyyy\ &quot;m.&quot;\ mmmm\ d\ &quot;d.&quot;"/>
  </numFmts>
  <fonts count="47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i/>
      <sz val="10"/>
      <color indexed="12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12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8" fillId="0" borderId="0">
      <alignment vertical="top"/>
      <protection/>
    </xf>
    <xf numFmtId="0" fontId="8" fillId="0" borderId="0">
      <alignment vertical="top"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2" fontId="0" fillId="0" borderId="0" xfId="0" applyNumberFormat="1" applyAlignment="1">
      <alignment vertical="top"/>
    </xf>
    <xf numFmtId="2" fontId="1" fillId="0" borderId="0" xfId="0" applyNumberFormat="1" applyFont="1" applyAlignment="1">
      <alignment vertical="top"/>
    </xf>
    <xf numFmtId="164" fontId="0" fillId="0" borderId="0" xfId="0" applyNumberFormat="1" applyAlignment="1">
      <alignment vertical="top"/>
    </xf>
    <xf numFmtId="164" fontId="1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164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vertical="top"/>
    </xf>
    <xf numFmtId="1" fontId="1" fillId="33" borderId="0" xfId="0" applyNumberFormat="1" applyFont="1" applyFill="1" applyAlignment="1">
      <alignment horizontal="center" vertical="top"/>
    </xf>
    <xf numFmtId="2" fontId="1" fillId="33" borderId="0" xfId="0" applyNumberFormat="1" applyFont="1" applyFill="1" applyAlignment="1">
      <alignment vertical="top"/>
    </xf>
    <xf numFmtId="1" fontId="1" fillId="33" borderId="0" xfId="0" applyNumberFormat="1" applyFont="1" applyFill="1" applyAlignment="1">
      <alignment vertical="top"/>
    </xf>
    <xf numFmtId="2" fontId="1" fillId="33" borderId="0" xfId="0" applyNumberFormat="1" applyFont="1" applyFill="1" applyAlignment="1">
      <alignment horizontal="right" vertical="top"/>
    </xf>
    <xf numFmtId="167" fontId="1" fillId="33" borderId="0" xfId="0" applyNumberFormat="1" applyFont="1" applyFill="1" applyAlignment="1">
      <alignment vertical="top"/>
    </xf>
    <xf numFmtId="2" fontId="2" fillId="0" borderId="1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/>
    </xf>
    <xf numFmtId="167" fontId="2" fillId="0" borderId="11" xfId="0" applyNumberFormat="1" applyFont="1" applyFill="1" applyBorder="1" applyAlignment="1">
      <alignment horizontal="center" vertical="center" wrapText="1"/>
    </xf>
    <xf numFmtId="167" fontId="1" fillId="0" borderId="0" xfId="0" applyNumberFormat="1" applyFont="1" applyAlignment="1">
      <alignment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13" borderId="10" xfId="0" applyFont="1" applyFill="1" applyBorder="1" applyAlignment="1">
      <alignment horizontal="center" vertical="center"/>
    </xf>
    <xf numFmtId="2" fontId="1" fillId="13" borderId="10" xfId="0" applyNumberFormat="1" applyFont="1" applyFill="1" applyBorder="1" applyAlignment="1">
      <alignment horizontal="center" vertical="center"/>
    </xf>
    <xf numFmtId="167" fontId="1" fillId="13" borderId="10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2" fontId="1" fillId="35" borderId="10" xfId="0" applyNumberFormat="1" applyFont="1" applyFill="1" applyBorder="1" applyAlignment="1">
      <alignment horizontal="center" vertical="center"/>
    </xf>
    <xf numFmtId="167" fontId="1" fillId="35" borderId="10" xfId="0" applyNumberFormat="1" applyFont="1" applyFill="1" applyBorder="1" applyAlignment="1">
      <alignment horizontal="center" vertical="center"/>
    </xf>
    <xf numFmtId="1" fontId="1" fillId="35" borderId="10" xfId="0" applyNumberFormat="1" applyFont="1" applyFill="1" applyBorder="1" applyAlignment="1">
      <alignment horizontal="center" vertical="center"/>
    </xf>
    <xf numFmtId="165" fontId="1" fillId="35" borderId="10" xfId="0" applyNumberFormat="1" applyFont="1" applyFill="1" applyBorder="1" applyAlignment="1">
      <alignment horizontal="center" vertical="center"/>
    </xf>
    <xf numFmtId="165" fontId="1" fillId="13" borderId="10" xfId="0" applyNumberFormat="1" applyFont="1" applyFill="1" applyBorder="1" applyAlignment="1" applyProtection="1">
      <alignment horizontal="center" vertical="center"/>
      <protection locked="0"/>
    </xf>
    <xf numFmtId="2" fontId="1" fillId="13" borderId="10" xfId="0" applyNumberFormat="1" applyFont="1" applyFill="1" applyBorder="1" applyAlignment="1" applyProtection="1">
      <alignment horizontal="center" vertical="center"/>
      <protection locked="0"/>
    </xf>
    <xf numFmtId="166" fontId="1" fillId="34" borderId="10" xfId="0" applyNumberFormat="1" applyFont="1" applyFill="1" applyBorder="1" applyAlignment="1">
      <alignment horizontal="center" vertical="center"/>
    </xf>
    <xf numFmtId="2" fontId="1" fillId="34" borderId="10" xfId="0" applyNumberFormat="1" applyFont="1" applyFill="1" applyBorder="1" applyAlignment="1">
      <alignment horizontal="center" vertical="center"/>
    </xf>
    <xf numFmtId="166" fontId="1" fillId="13" borderId="10" xfId="0" applyNumberFormat="1" applyFont="1" applyFill="1" applyBorder="1" applyAlignment="1">
      <alignment horizontal="center" vertical="center"/>
    </xf>
    <xf numFmtId="166" fontId="1" fillId="35" borderId="10" xfId="0" applyNumberFormat="1" applyFont="1" applyFill="1" applyBorder="1" applyAlignment="1">
      <alignment horizontal="center" vertical="center"/>
    </xf>
    <xf numFmtId="167" fontId="1" fillId="34" borderId="10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/>
    </xf>
    <xf numFmtId="3" fontId="7" fillId="13" borderId="10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2" fontId="1" fillId="35" borderId="10" xfId="0" applyNumberFormat="1" applyFont="1" applyFill="1" applyBorder="1" applyAlignment="1">
      <alignment horizontal="center" vertical="center"/>
    </xf>
    <xf numFmtId="0" fontId="1" fillId="13" borderId="10" xfId="0" applyFont="1" applyFill="1" applyBorder="1" applyAlignment="1" applyProtection="1">
      <alignment horizontal="center" vertical="center"/>
      <protection locked="0"/>
    </xf>
    <xf numFmtId="0" fontId="1" fillId="34" borderId="15" xfId="0" applyFont="1" applyFill="1" applyBorder="1" applyAlignment="1">
      <alignment horizontal="center" vertical="center"/>
    </xf>
    <xf numFmtId="2" fontId="1" fillId="34" borderId="10" xfId="0" applyNumberFormat="1" applyFont="1" applyFill="1" applyBorder="1" applyAlignment="1" applyProtection="1">
      <alignment horizontal="center" vertical="center"/>
      <protection locked="0"/>
    </xf>
    <xf numFmtId="165" fontId="1" fillId="34" borderId="10" xfId="0" applyNumberFormat="1" applyFont="1" applyFill="1" applyBorder="1" applyAlignment="1" applyProtection="1">
      <alignment horizontal="center" vertical="center"/>
      <protection locked="0"/>
    </xf>
    <xf numFmtId="0" fontId="1" fillId="34" borderId="10" xfId="0" applyFont="1" applyFill="1" applyBorder="1" applyAlignment="1">
      <alignment horizontal="center" vertical="center"/>
    </xf>
    <xf numFmtId="2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 applyProtection="1">
      <alignment horizontal="center" vertical="center"/>
      <protection locked="0"/>
    </xf>
    <xf numFmtId="0" fontId="1" fillId="36" borderId="10" xfId="0" applyFont="1" applyFill="1" applyBorder="1" applyAlignment="1">
      <alignment horizontal="center" vertical="center"/>
    </xf>
    <xf numFmtId="2" fontId="1" fillId="13" borderId="10" xfId="0" applyNumberFormat="1" applyFont="1" applyFill="1" applyBorder="1" applyAlignment="1">
      <alignment horizontal="center" vertical="center"/>
    </xf>
    <xf numFmtId="0" fontId="1" fillId="13" borderId="10" xfId="0" applyFont="1" applyFill="1" applyBorder="1" applyAlignment="1">
      <alignment horizontal="center" vertical="center"/>
    </xf>
    <xf numFmtId="2" fontId="1" fillId="35" borderId="10" xfId="0" applyNumberFormat="1" applyFont="1" applyFill="1" applyBorder="1" applyAlignment="1" applyProtection="1">
      <alignment horizontal="center" vertical="center"/>
      <protection locked="0"/>
    </xf>
    <xf numFmtId="0" fontId="1" fillId="35" borderId="10" xfId="0" applyFont="1" applyFill="1" applyBorder="1" applyAlignment="1" applyProtection="1">
      <alignment horizontal="center" vertical="center"/>
      <protection locked="0"/>
    </xf>
    <xf numFmtId="165" fontId="1" fillId="35" borderId="10" xfId="0" applyNumberFormat="1" applyFont="1" applyFill="1" applyBorder="1" applyAlignment="1" applyProtection="1">
      <alignment horizontal="center" vertical="center"/>
      <protection locked="0"/>
    </xf>
    <xf numFmtId="167" fontId="1" fillId="36" borderId="10" xfId="0" applyNumberFormat="1" applyFont="1" applyFill="1" applyBorder="1" applyAlignment="1">
      <alignment horizontal="center" vertical="center"/>
    </xf>
    <xf numFmtId="2" fontId="1" fillId="36" borderId="10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 vertical="top"/>
    </xf>
    <xf numFmtId="0" fontId="1" fillId="34" borderId="10" xfId="0" applyFont="1" applyFill="1" applyBorder="1" applyAlignment="1">
      <alignment/>
    </xf>
    <xf numFmtId="165" fontId="1" fillId="34" borderId="10" xfId="0" applyNumberFormat="1" applyFont="1" applyFill="1" applyBorder="1" applyAlignment="1">
      <alignment horizontal="center" vertical="center"/>
    </xf>
    <xf numFmtId="1" fontId="1" fillId="34" borderId="10" xfId="0" applyNumberFormat="1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/>
    </xf>
    <xf numFmtId="165" fontId="1" fillId="36" borderId="10" xfId="0" applyNumberFormat="1" applyFont="1" applyFill="1" applyBorder="1" applyAlignment="1">
      <alignment horizontal="center" vertical="center"/>
    </xf>
    <xf numFmtId="1" fontId="1" fillId="36" borderId="10" xfId="0" applyNumberFormat="1" applyFont="1" applyFill="1" applyBorder="1" applyAlignment="1">
      <alignment horizontal="center" vertical="center"/>
    </xf>
    <xf numFmtId="0" fontId="1" fillId="13" borderId="10" xfId="0" applyFont="1" applyFill="1" applyBorder="1" applyAlignment="1">
      <alignment/>
    </xf>
    <xf numFmtId="165" fontId="1" fillId="13" borderId="10" xfId="0" applyNumberFormat="1" applyFont="1" applyFill="1" applyBorder="1" applyAlignment="1">
      <alignment horizontal="center" vertical="center"/>
    </xf>
    <xf numFmtId="1" fontId="1" fillId="13" borderId="10" xfId="0" applyNumberFormat="1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/>
    </xf>
    <xf numFmtId="165" fontId="1" fillId="37" borderId="10" xfId="0" applyNumberFormat="1" applyFont="1" applyFill="1" applyBorder="1" applyAlignment="1">
      <alignment horizontal="center" vertical="center"/>
    </xf>
    <xf numFmtId="1" fontId="1" fillId="37" borderId="10" xfId="0" applyNumberFormat="1" applyFont="1" applyFill="1" applyBorder="1" applyAlignment="1">
      <alignment horizontal="center" vertical="center"/>
    </xf>
    <xf numFmtId="167" fontId="1" fillId="37" borderId="10" xfId="0" applyNumberFormat="1" applyFont="1" applyFill="1" applyBorder="1" applyAlignment="1">
      <alignment horizontal="center" vertical="center"/>
    </xf>
    <xf numFmtId="2" fontId="1" fillId="37" borderId="10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/>
    </xf>
    <xf numFmtId="0" fontId="1" fillId="35" borderId="10" xfId="0" applyFont="1" applyFill="1" applyBorder="1" applyAlignment="1">
      <alignment vertical="center"/>
    </xf>
    <xf numFmtId="0" fontId="1" fillId="34" borderId="15" xfId="0" applyFont="1" applyFill="1" applyBorder="1" applyAlignment="1">
      <alignment/>
    </xf>
    <xf numFmtId="165" fontId="1" fillId="34" borderId="15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/>
    </xf>
    <xf numFmtId="2" fontId="1" fillId="34" borderId="10" xfId="0" applyNumberFormat="1" applyFont="1" applyFill="1" applyBorder="1" applyAlignment="1">
      <alignment horizontal="left" vertical="center" wrapText="1"/>
    </xf>
    <xf numFmtId="1" fontId="1" fillId="34" borderId="10" xfId="0" applyNumberFormat="1" applyFont="1" applyFill="1" applyBorder="1" applyAlignment="1">
      <alignment horizontal="center" vertical="center" wrapText="1"/>
    </xf>
    <xf numFmtId="165" fontId="1" fillId="34" borderId="10" xfId="0" applyNumberFormat="1" applyFont="1" applyFill="1" applyBorder="1" applyAlignment="1">
      <alignment horizontal="center" vertical="center" wrapText="1"/>
    </xf>
    <xf numFmtId="2" fontId="1" fillId="37" borderId="10" xfId="0" applyNumberFormat="1" applyFont="1" applyFill="1" applyBorder="1" applyAlignment="1">
      <alignment vertical="center" wrapText="1"/>
    </xf>
    <xf numFmtId="1" fontId="1" fillId="37" borderId="10" xfId="0" applyNumberFormat="1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/>
    </xf>
    <xf numFmtId="165" fontId="1" fillId="37" borderId="10" xfId="0" applyNumberFormat="1" applyFont="1" applyFill="1" applyBorder="1" applyAlignment="1">
      <alignment horizontal="center" vertical="center" wrapText="1"/>
    </xf>
    <xf numFmtId="167" fontId="1" fillId="34" borderId="15" xfId="0" applyNumberFormat="1" applyFont="1" applyFill="1" applyBorder="1" applyAlignment="1">
      <alignment horizontal="center" vertical="center"/>
    </xf>
    <xf numFmtId="2" fontId="1" fillId="34" borderId="15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top" wrapText="1"/>
    </xf>
    <xf numFmtId="3" fontId="7" fillId="34" borderId="10" xfId="0" applyNumberFormat="1" applyFont="1" applyFill="1" applyBorder="1" applyAlignment="1">
      <alignment horizontal="center" vertical="center" wrapText="1"/>
    </xf>
    <xf numFmtId="165" fontId="7" fillId="34" borderId="10" xfId="0" applyNumberFormat="1" applyFont="1" applyFill="1" applyBorder="1" applyAlignment="1">
      <alignment horizontal="center" vertical="center" wrapText="1"/>
    </xf>
    <xf numFmtId="1" fontId="7" fillId="34" borderId="10" xfId="0" applyNumberFormat="1" applyFont="1" applyFill="1" applyBorder="1" applyAlignment="1">
      <alignment horizontal="center" vertical="center" wrapText="1"/>
    </xf>
    <xf numFmtId="0" fontId="1" fillId="13" borderId="10" xfId="0" applyFont="1" applyFill="1" applyBorder="1" applyAlignment="1">
      <alignment horizontal="left" vertical="top" wrapText="1"/>
    </xf>
    <xf numFmtId="3" fontId="1" fillId="13" borderId="10" xfId="0" applyNumberFormat="1" applyFont="1" applyFill="1" applyBorder="1" applyAlignment="1">
      <alignment horizontal="center" vertical="center" wrapText="1"/>
    </xf>
    <xf numFmtId="165" fontId="1" fillId="13" borderId="10" xfId="0" applyNumberFormat="1" applyFont="1" applyFill="1" applyBorder="1" applyAlignment="1">
      <alignment horizontal="center" vertical="center" wrapText="1"/>
    </xf>
    <xf numFmtId="1" fontId="1" fillId="13" borderId="10" xfId="0" applyNumberFormat="1" applyFont="1" applyFill="1" applyBorder="1" applyAlignment="1">
      <alignment horizontal="center" vertical="center" wrapText="1"/>
    </xf>
    <xf numFmtId="0" fontId="7" fillId="13" borderId="10" xfId="0" applyFont="1" applyFill="1" applyBorder="1" applyAlignment="1">
      <alignment horizontal="left" vertical="top" wrapText="1"/>
    </xf>
    <xf numFmtId="3" fontId="7" fillId="13" borderId="10" xfId="0" applyNumberFormat="1" applyFont="1" applyFill="1" applyBorder="1" applyAlignment="1">
      <alignment horizontal="center" vertical="center" wrapText="1"/>
    </xf>
    <xf numFmtId="165" fontId="7" fillId="13" borderId="10" xfId="0" applyNumberFormat="1" applyFont="1" applyFill="1" applyBorder="1" applyAlignment="1">
      <alignment horizontal="center" vertical="center" wrapText="1"/>
    </xf>
    <xf numFmtId="1" fontId="7" fillId="13" borderId="10" xfId="0" applyNumberFormat="1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left" vertical="top" wrapText="1"/>
    </xf>
    <xf numFmtId="3" fontId="7" fillId="37" borderId="10" xfId="0" applyNumberFormat="1" applyFont="1" applyFill="1" applyBorder="1" applyAlignment="1">
      <alignment horizontal="center" vertical="center" wrapText="1"/>
    </xf>
    <xf numFmtId="165" fontId="7" fillId="37" borderId="10" xfId="0" applyNumberFormat="1" applyFont="1" applyFill="1" applyBorder="1" applyAlignment="1">
      <alignment horizontal="center" vertical="center" wrapText="1"/>
    </xf>
    <xf numFmtId="1" fontId="7" fillId="37" borderId="10" xfId="0" applyNumberFormat="1" applyFont="1" applyFill="1" applyBorder="1" applyAlignment="1">
      <alignment horizontal="center" vertical="center" wrapText="1"/>
    </xf>
    <xf numFmtId="0" fontId="1" fillId="13" borderId="10" xfId="0" applyFont="1" applyFill="1" applyBorder="1" applyAlignment="1" applyProtection="1">
      <alignment/>
      <protection locked="0"/>
    </xf>
    <xf numFmtId="0" fontId="1" fillId="37" borderId="10" xfId="0" applyFont="1" applyFill="1" applyBorder="1" applyAlignment="1" applyProtection="1">
      <alignment/>
      <protection locked="0"/>
    </xf>
    <xf numFmtId="0" fontId="1" fillId="35" borderId="10" xfId="0" applyFont="1" applyFill="1" applyBorder="1" applyAlignment="1" applyProtection="1">
      <alignment/>
      <protection locked="0"/>
    </xf>
    <xf numFmtId="0" fontId="3" fillId="35" borderId="10" xfId="0" applyFont="1" applyFill="1" applyBorder="1" applyAlignment="1" applyProtection="1">
      <alignment/>
      <protection locked="0"/>
    </xf>
    <xf numFmtId="0" fontId="1" fillId="34" borderId="10" xfId="0" applyFont="1" applyFill="1" applyBorder="1" applyAlignment="1" applyProtection="1">
      <alignment/>
      <protection locked="0"/>
    </xf>
    <xf numFmtId="0" fontId="1" fillId="34" borderId="10" xfId="0" applyFont="1" applyFill="1" applyBorder="1" applyAlignment="1">
      <alignment vertical="top"/>
    </xf>
    <xf numFmtId="0" fontId="1" fillId="13" borderId="10" xfId="0" applyFont="1" applyFill="1" applyBorder="1" applyAlignment="1">
      <alignment vertical="top"/>
    </xf>
    <xf numFmtId="0" fontId="1" fillId="37" borderId="10" xfId="0" applyFont="1" applyFill="1" applyBorder="1" applyAlignment="1">
      <alignment vertical="top"/>
    </xf>
    <xf numFmtId="0" fontId="1" fillId="35" borderId="10" xfId="0" applyFont="1" applyFill="1" applyBorder="1" applyAlignment="1">
      <alignment vertical="top"/>
    </xf>
    <xf numFmtId="166" fontId="1" fillId="37" borderId="10" xfId="0" applyNumberFormat="1" applyFont="1" applyFill="1" applyBorder="1" applyAlignment="1">
      <alignment horizontal="center" vertical="center"/>
    </xf>
    <xf numFmtId="165" fontId="1" fillId="35" borderId="10" xfId="0" applyNumberFormat="1" applyFont="1" applyFill="1" applyBorder="1" applyAlignment="1">
      <alignment horizontal="center" vertical="center" wrapText="1"/>
    </xf>
    <xf numFmtId="1" fontId="1" fillId="34" borderId="15" xfId="0" applyNumberFormat="1" applyFont="1" applyFill="1" applyBorder="1" applyAlignment="1">
      <alignment horizontal="center" vertical="center"/>
    </xf>
    <xf numFmtId="165" fontId="46" fillId="34" borderId="10" xfId="0" applyNumberFormat="1" applyFont="1" applyFill="1" applyBorder="1" applyAlignment="1">
      <alignment horizontal="center" vertical="center"/>
    </xf>
    <xf numFmtId="2" fontId="1" fillId="13" borderId="10" xfId="0" applyNumberFormat="1" applyFont="1" applyFill="1" applyBorder="1" applyAlignment="1">
      <alignment horizontal="left" vertical="center"/>
    </xf>
    <xf numFmtId="2" fontId="1" fillId="13" borderId="10" xfId="0" applyNumberFormat="1" applyFont="1" applyFill="1" applyBorder="1" applyAlignment="1">
      <alignment vertical="center" wrapText="1"/>
    </xf>
    <xf numFmtId="2" fontId="1" fillId="37" borderId="10" xfId="0" applyNumberFormat="1" applyFont="1" applyFill="1" applyBorder="1" applyAlignment="1">
      <alignment horizontal="left" vertical="center" wrapText="1"/>
    </xf>
    <xf numFmtId="0" fontId="3" fillId="37" borderId="10" xfId="0" applyFont="1" applyFill="1" applyBorder="1" applyAlignment="1">
      <alignment/>
    </xf>
    <xf numFmtId="2" fontId="1" fillId="35" borderId="10" xfId="0" applyNumberFormat="1" applyFont="1" applyFill="1" applyBorder="1" applyAlignment="1">
      <alignment vertical="center" wrapText="1"/>
    </xf>
    <xf numFmtId="1" fontId="1" fillId="35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top" wrapText="1"/>
    </xf>
    <xf numFmtId="3" fontId="1" fillId="34" borderId="10" xfId="0" applyNumberFormat="1" applyFont="1" applyFill="1" applyBorder="1" applyAlignment="1">
      <alignment horizontal="center" vertical="center" wrapText="1"/>
    </xf>
    <xf numFmtId="174" fontId="1" fillId="35" borderId="10" xfId="0" applyNumberFormat="1" applyFont="1" applyFill="1" applyBorder="1" applyAlignment="1" applyProtection="1">
      <alignment horizontal="center" vertical="center"/>
      <protection/>
    </xf>
    <xf numFmtId="167" fontId="1" fillId="35" borderId="10" xfId="0" applyNumberFormat="1" applyFont="1" applyFill="1" applyBorder="1" applyAlignment="1">
      <alignment horizontal="center" vertical="center"/>
    </xf>
    <xf numFmtId="174" fontId="1" fillId="34" borderId="10" xfId="0" applyNumberFormat="1" applyFont="1" applyFill="1" applyBorder="1" applyAlignment="1" applyProtection="1">
      <alignment horizontal="center" vertical="center"/>
      <protection/>
    </xf>
    <xf numFmtId="2" fontId="1" fillId="34" borderId="10" xfId="0" applyNumberFormat="1" applyFont="1" applyFill="1" applyBorder="1" applyAlignment="1" applyProtection="1">
      <alignment horizontal="center" vertical="center"/>
      <protection/>
    </xf>
    <xf numFmtId="167" fontId="1" fillId="34" borderId="10" xfId="0" applyNumberFormat="1" applyFont="1" applyFill="1" applyBorder="1" applyAlignment="1" applyProtection="1">
      <alignment horizontal="center" vertical="center"/>
      <protection/>
    </xf>
    <xf numFmtId="1" fontId="1" fillId="34" borderId="10" xfId="0" applyNumberFormat="1" applyFont="1" applyFill="1" applyBorder="1" applyAlignment="1" applyProtection="1">
      <alignment horizontal="center" vertical="center"/>
      <protection locked="0"/>
    </xf>
    <xf numFmtId="165" fontId="1" fillId="34" borderId="10" xfId="42" applyNumberFormat="1" applyFont="1" applyFill="1" applyBorder="1" applyAlignment="1">
      <alignment horizontal="center" vertical="center"/>
    </xf>
    <xf numFmtId="165" fontId="1" fillId="34" borderId="10" xfId="0" applyNumberFormat="1" applyFont="1" applyFill="1" applyBorder="1" applyAlignment="1">
      <alignment horizontal="center" vertical="center"/>
    </xf>
    <xf numFmtId="165" fontId="7" fillId="34" borderId="10" xfId="0" applyNumberFormat="1" applyFont="1" applyFill="1" applyBorder="1" applyAlignment="1">
      <alignment horizontal="center" vertical="center"/>
    </xf>
    <xf numFmtId="1" fontId="7" fillId="34" borderId="10" xfId="0" applyNumberFormat="1" applyFont="1" applyFill="1" applyBorder="1" applyAlignment="1">
      <alignment horizontal="center" vertical="center"/>
    </xf>
    <xf numFmtId="167" fontId="1" fillId="34" borderId="10" xfId="0" applyNumberFormat="1" applyFont="1" applyFill="1" applyBorder="1" applyAlignment="1">
      <alignment horizontal="center" vertical="center"/>
    </xf>
    <xf numFmtId="165" fontId="1" fillId="13" borderId="10" xfId="0" applyNumberFormat="1" applyFont="1" applyFill="1" applyBorder="1" applyAlignment="1">
      <alignment horizontal="center" vertical="center"/>
    </xf>
    <xf numFmtId="165" fontId="7" fillId="13" borderId="10" xfId="0" applyNumberFormat="1" applyFont="1" applyFill="1" applyBorder="1" applyAlignment="1">
      <alignment horizontal="center" vertical="center"/>
    </xf>
    <xf numFmtId="1" fontId="7" fillId="13" borderId="10" xfId="0" applyNumberFormat="1" applyFont="1" applyFill="1" applyBorder="1" applyAlignment="1">
      <alignment horizontal="center" vertical="center"/>
    </xf>
    <xf numFmtId="167" fontId="1" fillId="13" borderId="10" xfId="0" applyNumberFormat="1" applyFont="1" applyFill="1" applyBorder="1" applyAlignment="1">
      <alignment horizontal="center" vertical="center"/>
    </xf>
    <xf numFmtId="1" fontId="1" fillId="13" borderId="10" xfId="0" applyNumberFormat="1" applyFont="1" applyFill="1" applyBorder="1" applyAlignment="1" applyProtection="1">
      <alignment horizontal="center" vertical="center"/>
      <protection locked="0"/>
    </xf>
    <xf numFmtId="167" fontId="1" fillId="13" borderId="10" xfId="0" applyNumberFormat="1" applyFont="1" applyFill="1" applyBorder="1" applyAlignment="1" applyProtection="1">
      <alignment horizontal="center" vertical="center"/>
      <protection/>
    </xf>
    <xf numFmtId="2" fontId="1" fillId="13" borderId="10" xfId="0" applyNumberFormat="1" applyFont="1" applyFill="1" applyBorder="1" applyAlignment="1" applyProtection="1">
      <alignment horizontal="center" vertical="center"/>
      <protection/>
    </xf>
    <xf numFmtId="164" fontId="1" fillId="13" borderId="10" xfId="0" applyNumberFormat="1" applyFont="1" applyFill="1" applyBorder="1" applyAlignment="1">
      <alignment horizontal="center" vertical="center"/>
    </xf>
    <xf numFmtId="167" fontId="1" fillId="37" borderId="10" xfId="0" applyNumberFormat="1" applyFont="1" applyFill="1" applyBorder="1" applyAlignment="1" applyProtection="1">
      <alignment horizontal="center" vertical="center"/>
      <protection/>
    </xf>
    <xf numFmtId="2" fontId="1" fillId="37" borderId="10" xfId="0" applyNumberFormat="1" applyFont="1" applyFill="1" applyBorder="1" applyAlignment="1" applyProtection="1">
      <alignment horizontal="center" vertical="center"/>
      <protection locked="0"/>
    </xf>
    <xf numFmtId="2" fontId="1" fillId="37" borderId="10" xfId="0" applyNumberFormat="1" applyFont="1" applyFill="1" applyBorder="1" applyAlignment="1" applyProtection="1">
      <alignment horizontal="center" vertical="center"/>
      <protection/>
    </xf>
    <xf numFmtId="0" fontId="1" fillId="37" borderId="10" xfId="0" applyFont="1" applyFill="1" applyBorder="1" applyAlignment="1" applyProtection="1">
      <alignment horizontal="center" vertical="center"/>
      <protection locked="0"/>
    </xf>
    <xf numFmtId="3" fontId="7" fillId="37" borderId="10" xfId="0" applyNumberFormat="1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165" fontId="1" fillId="37" borderId="10" xfId="0" applyNumberFormat="1" applyFont="1" applyFill="1" applyBorder="1" applyAlignment="1">
      <alignment horizontal="center" vertical="center"/>
    </xf>
    <xf numFmtId="165" fontId="7" fillId="37" borderId="10" xfId="0" applyNumberFormat="1" applyFont="1" applyFill="1" applyBorder="1" applyAlignment="1">
      <alignment horizontal="center" vertical="center"/>
    </xf>
    <xf numFmtId="1" fontId="7" fillId="37" borderId="10" xfId="0" applyNumberFormat="1" applyFont="1" applyFill="1" applyBorder="1" applyAlignment="1">
      <alignment horizontal="center" vertical="center"/>
    </xf>
    <xf numFmtId="167" fontId="1" fillId="37" borderId="10" xfId="0" applyNumberFormat="1" applyFont="1" applyFill="1" applyBorder="1" applyAlignment="1">
      <alignment horizontal="center" vertical="center"/>
    </xf>
    <xf numFmtId="2" fontId="1" fillId="37" borderId="10" xfId="0" applyNumberFormat="1" applyFont="1" applyFill="1" applyBorder="1" applyAlignment="1">
      <alignment horizontal="center" vertical="center"/>
    </xf>
    <xf numFmtId="165" fontId="1" fillId="37" borderId="10" xfId="0" applyNumberFormat="1" applyFont="1" applyFill="1" applyBorder="1" applyAlignment="1" applyProtection="1">
      <alignment horizontal="center" vertical="center"/>
      <protection locked="0"/>
    </xf>
    <xf numFmtId="1" fontId="1" fillId="37" borderId="10" xfId="0" applyNumberFormat="1" applyFont="1" applyFill="1" applyBorder="1" applyAlignment="1" applyProtection="1">
      <alignment horizontal="center" vertical="center"/>
      <protection locked="0"/>
    </xf>
    <xf numFmtId="174" fontId="1" fillId="37" borderId="10" xfId="0" applyNumberFormat="1" applyFont="1" applyFill="1" applyBorder="1" applyAlignment="1" applyProtection="1">
      <alignment horizontal="center" vertical="center"/>
      <protection/>
    </xf>
    <xf numFmtId="3" fontId="7" fillId="35" borderId="10" xfId="0" applyNumberFormat="1" applyFont="1" applyFill="1" applyBorder="1" applyAlignment="1">
      <alignment horizontal="center" vertical="center"/>
    </xf>
    <xf numFmtId="165" fontId="1" fillId="35" borderId="10" xfId="0" applyNumberFormat="1" applyFont="1" applyFill="1" applyBorder="1" applyAlignment="1">
      <alignment horizontal="center" vertical="center"/>
    </xf>
    <xf numFmtId="165" fontId="7" fillId="35" borderId="10" xfId="0" applyNumberFormat="1" applyFont="1" applyFill="1" applyBorder="1" applyAlignment="1">
      <alignment horizontal="center" vertical="center"/>
    </xf>
    <xf numFmtId="1" fontId="7" fillId="35" borderId="10" xfId="0" applyNumberFormat="1" applyFont="1" applyFill="1" applyBorder="1" applyAlignment="1">
      <alignment horizontal="center" vertical="center"/>
    </xf>
    <xf numFmtId="1" fontId="1" fillId="35" borderId="10" xfId="0" applyNumberFormat="1" applyFont="1" applyFill="1" applyBorder="1" applyAlignment="1" applyProtection="1">
      <alignment horizontal="center" vertical="center"/>
      <protection locked="0"/>
    </xf>
    <xf numFmtId="167" fontId="1" fillId="35" borderId="10" xfId="0" applyNumberFormat="1" applyFont="1" applyFill="1" applyBorder="1" applyAlignment="1" applyProtection="1">
      <alignment horizontal="center" vertical="center"/>
      <protection/>
    </xf>
    <xf numFmtId="2" fontId="1" fillId="35" borderId="10" xfId="0" applyNumberFormat="1" applyFont="1" applyFill="1" applyBorder="1" applyAlignment="1" applyProtection="1">
      <alignment horizontal="center" vertical="center"/>
      <protection/>
    </xf>
    <xf numFmtId="164" fontId="1" fillId="35" borderId="10" xfId="0" applyNumberFormat="1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 textRotation="90"/>
    </xf>
    <xf numFmtId="0" fontId="9" fillId="37" borderId="19" xfId="0" applyFont="1" applyFill="1" applyBorder="1" applyAlignment="1">
      <alignment horizontal="center" vertical="center" textRotation="90"/>
    </xf>
    <xf numFmtId="0" fontId="9" fillId="13" borderId="19" xfId="0" applyFont="1" applyFill="1" applyBorder="1" applyAlignment="1">
      <alignment horizontal="center" vertical="center" textRotation="90"/>
    </xf>
    <xf numFmtId="0" fontId="9" fillId="34" borderId="20" xfId="0" applyFont="1" applyFill="1" applyBorder="1" applyAlignment="1">
      <alignment horizontal="center" vertical="center" textRotation="90"/>
    </xf>
    <xf numFmtId="0" fontId="9" fillId="34" borderId="19" xfId="0" applyFont="1" applyFill="1" applyBorder="1" applyAlignment="1">
      <alignment horizontal="center" vertical="center" textRotation="90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67" fontId="1" fillId="0" borderId="24" xfId="0" applyNumberFormat="1" applyFont="1" applyFill="1" applyBorder="1" applyAlignment="1">
      <alignment horizontal="center" vertical="center" wrapText="1"/>
    </xf>
    <xf numFmtId="167" fontId="1" fillId="0" borderId="15" xfId="0" applyNumberFormat="1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center" vertical="center" wrapText="1"/>
    </xf>
    <xf numFmtId="2" fontId="1" fillId="0" borderId="26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" fontId="1" fillId="0" borderId="27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13" borderId="15" xfId="0" applyFont="1" applyFill="1" applyBorder="1" applyAlignment="1">
      <alignment/>
    </xf>
    <xf numFmtId="1" fontId="1" fillId="13" borderId="15" xfId="0" applyNumberFormat="1" applyFont="1" applyFill="1" applyBorder="1" applyAlignment="1">
      <alignment horizontal="center" vertical="center"/>
    </xf>
    <xf numFmtId="0" fontId="1" fillId="13" borderId="15" xfId="0" applyFont="1" applyFill="1" applyBorder="1" applyAlignment="1">
      <alignment horizontal="center" vertical="center"/>
    </xf>
    <xf numFmtId="165" fontId="1" fillId="13" borderId="15" xfId="0" applyNumberFormat="1" applyFont="1" applyFill="1" applyBorder="1" applyAlignment="1">
      <alignment horizontal="center" vertical="center"/>
    </xf>
    <xf numFmtId="167" fontId="1" fillId="13" borderId="15" xfId="0" applyNumberFormat="1" applyFont="1" applyFill="1" applyBorder="1" applyAlignment="1">
      <alignment horizontal="center" vertical="center"/>
    </xf>
    <xf numFmtId="2" fontId="1" fillId="13" borderId="15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/>
    </xf>
    <xf numFmtId="0" fontId="1" fillId="34" borderId="11" xfId="0" applyFont="1" applyFill="1" applyBorder="1" applyAlignment="1">
      <alignment horizontal="center" vertical="center"/>
    </xf>
    <xf numFmtId="165" fontId="1" fillId="34" borderId="11" xfId="0" applyNumberFormat="1" applyFont="1" applyFill="1" applyBorder="1" applyAlignment="1">
      <alignment horizontal="center" vertical="center"/>
    </xf>
    <xf numFmtId="1" fontId="1" fillId="34" borderId="11" xfId="0" applyNumberFormat="1" applyFont="1" applyFill="1" applyBorder="1" applyAlignment="1">
      <alignment horizontal="center" vertical="center"/>
    </xf>
    <xf numFmtId="167" fontId="1" fillId="34" borderId="11" xfId="0" applyNumberFormat="1" applyFont="1" applyFill="1" applyBorder="1" applyAlignment="1">
      <alignment horizontal="center" vertical="center"/>
    </xf>
    <xf numFmtId="2" fontId="1" fillId="34" borderId="11" xfId="0" applyNumberFormat="1" applyFont="1" applyFill="1" applyBorder="1" applyAlignment="1">
      <alignment horizontal="center" vertical="center"/>
    </xf>
    <xf numFmtId="0" fontId="9" fillId="34" borderId="34" xfId="0" applyFont="1" applyFill="1" applyBorder="1" applyAlignment="1">
      <alignment horizontal="center" vertical="center" textRotation="90"/>
    </xf>
    <xf numFmtId="0" fontId="1" fillId="37" borderId="15" xfId="0" applyFont="1" applyFill="1" applyBorder="1" applyAlignment="1">
      <alignment/>
    </xf>
    <xf numFmtId="0" fontId="1" fillId="37" borderId="15" xfId="0" applyFont="1" applyFill="1" applyBorder="1" applyAlignment="1">
      <alignment horizontal="center" vertical="center"/>
    </xf>
    <xf numFmtId="165" fontId="1" fillId="37" borderId="15" xfId="0" applyNumberFormat="1" applyFont="1" applyFill="1" applyBorder="1" applyAlignment="1">
      <alignment horizontal="center" vertical="center"/>
    </xf>
    <xf numFmtId="1" fontId="1" fillId="37" borderId="15" xfId="0" applyNumberFormat="1" applyFont="1" applyFill="1" applyBorder="1" applyAlignment="1">
      <alignment horizontal="center" vertical="center"/>
    </xf>
    <xf numFmtId="167" fontId="1" fillId="37" borderId="15" xfId="0" applyNumberFormat="1" applyFont="1" applyFill="1" applyBorder="1" applyAlignment="1">
      <alignment horizontal="center" vertical="center"/>
    </xf>
    <xf numFmtId="2" fontId="1" fillId="37" borderId="15" xfId="0" applyNumberFormat="1" applyFont="1" applyFill="1" applyBorder="1" applyAlignment="1">
      <alignment horizontal="center" vertical="center"/>
    </xf>
    <xf numFmtId="0" fontId="1" fillId="13" borderId="11" xfId="0" applyFont="1" applyFill="1" applyBorder="1" applyAlignment="1">
      <alignment/>
    </xf>
    <xf numFmtId="0" fontId="1" fillId="13" borderId="11" xfId="0" applyFont="1" applyFill="1" applyBorder="1" applyAlignment="1">
      <alignment horizontal="center" vertical="center"/>
    </xf>
    <xf numFmtId="165" fontId="1" fillId="13" borderId="11" xfId="0" applyNumberFormat="1" applyFont="1" applyFill="1" applyBorder="1" applyAlignment="1">
      <alignment horizontal="center" vertical="center"/>
    </xf>
    <xf numFmtId="1" fontId="1" fillId="13" borderId="11" xfId="0" applyNumberFormat="1" applyFont="1" applyFill="1" applyBorder="1" applyAlignment="1">
      <alignment horizontal="center" vertical="center"/>
    </xf>
    <xf numFmtId="167" fontId="1" fillId="13" borderId="11" xfId="0" applyNumberFormat="1" applyFont="1" applyFill="1" applyBorder="1" applyAlignment="1">
      <alignment horizontal="center" vertical="center"/>
    </xf>
    <xf numFmtId="2" fontId="1" fillId="13" borderId="11" xfId="0" applyNumberFormat="1" applyFont="1" applyFill="1" applyBorder="1" applyAlignment="1">
      <alignment horizontal="center" vertical="center"/>
    </xf>
    <xf numFmtId="0" fontId="9" fillId="13" borderId="34" xfId="0" applyFont="1" applyFill="1" applyBorder="1" applyAlignment="1">
      <alignment horizontal="center" vertical="center" textRotation="90"/>
    </xf>
    <xf numFmtId="0" fontId="1" fillId="35" borderId="15" xfId="0" applyFont="1" applyFill="1" applyBorder="1" applyAlignment="1">
      <alignment vertical="top"/>
    </xf>
    <xf numFmtId="3" fontId="7" fillId="35" borderId="15" xfId="0" applyNumberFormat="1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165" fontId="1" fillId="35" borderId="15" xfId="0" applyNumberFormat="1" applyFont="1" applyFill="1" applyBorder="1" applyAlignment="1">
      <alignment horizontal="center" vertical="center"/>
    </xf>
    <xf numFmtId="165" fontId="7" fillId="35" borderId="15" xfId="0" applyNumberFormat="1" applyFont="1" applyFill="1" applyBorder="1" applyAlignment="1">
      <alignment horizontal="center" vertical="center"/>
    </xf>
    <xf numFmtId="1" fontId="7" fillId="35" borderId="15" xfId="0" applyNumberFormat="1" applyFont="1" applyFill="1" applyBorder="1" applyAlignment="1">
      <alignment horizontal="center" vertical="center"/>
    </xf>
    <xf numFmtId="167" fontId="1" fillId="35" borderId="15" xfId="0" applyNumberFormat="1" applyFont="1" applyFill="1" applyBorder="1" applyAlignment="1">
      <alignment horizontal="center" vertical="center"/>
    </xf>
    <xf numFmtId="2" fontId="1" fillId="35" borderId="15" xfId="0" applyNumberFormat="1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/>
    </xf>
    <xf numFmtId="0" fontId="1" fillId="37" borderId="11" xfId="0" applyFont="1" applyFill="1" applyBorder="1" applyAlignment="1">
      <alignment horizontal="center" vertical="center"/>
    </xf>
    <xf numFmtId="165" fontId="1" fillId="37" borderId="11" xfId="0" applyNumberFormat="1" applyFont="1" applyFill="1" applyBorder="1" applyAlignment="1">
      <alignment horizontal="center" vertical="center"/>
    </xf>
    <xf numFmtId="1" fontId="1" fillId="37" borderId="11" xfId="0" applyNumberFormat="1" applyFont="1" applyFill="1" applyBorder="1" applyAlignment="1">
      <alignment horizontal="center" vertical="center"/>
    </xf>
    <xf numFmtId="167" fontId="1" fillId="37" borderId="11" xfId="0" applyNumberFormat="1" applyFont="1" applyFill="1" applyBorder="1" applyAlignment="1">
      <alignment horizontal="center" vertical="center"/>
    </xf>
    <xf numFmtId="2" fontId="1" fillId="37" borderId="11" xfId="0" applyNumberFormat="1" applyFont="1" applyFill="1" applyBorder="1" applyAlignment="1">
      <alignment horizontal="center" vertical="center"/>
    </xf>
    <xf numFmtId="0" fontId="9" fillId="37" borderId="34" xfId="0" applyFont="1" applyFill="1" applyBorder="1" applyAlignment="1">
      <alignment horizontal="center" vertical="center" textRotation="90"/>
    </xf>
    <xf numFmtId="0" fontId="1" fillId="35" borderId="11" xfId="0" applyFont="1" applyFill="1" applyBorder="1" applyAlignment="1" applyProtection="1">
      <alignment/>
      <protection locked="0"/>
    </xf>
    <xf numFmtId="0" fontId="1" fillId="35" borderId="11" xfId="0" applyFont="1" applyFill="1" applyBorder="1" applyAlignment="1" applyProtection="1">
      <alignment horizontal="center" vertical="center"/>
      <protection locked="0"/>
    </xf>
    <xf numFmtId="165" fontId="1" fillId="35" borderId="11" xfId="0" applyNumberFormat="1" applyFont="1" applyFill="1" applyBorder="1" applyAlignment="1" applyProtection="1">
      <alignment horizontal="center" vertical="center"/>
      <protection locked="0"/>
    </xf>
    <xf numFmtId="1" fontId="1" fillId="35" borderId="11" xfId="0" applyNumberFormat="1" applyFont="1" applyFill="1" applyBorder="1" applyAlignment="1" applyProtection="1">
      <alignment horizontal="center" vertical="center"/>
      <protection locked="0"/>
    </xf>
    <xf numFmtId="167" fontId="1" fillId="35" borderId="11" xfId="0" applyNumberFormat="1" applyFont="1" applyFill="1" applyBorder="1" applyAlignment="1" applyProtection="1">
      <alignment horizontal="center" vertical="center"/>
      <protection/>
    </xf>
    <xf numFmtId="2" fontId="1" fillId="35" borderId="11" xfId="0" applyNumberFormat="1" applyFont="1" applyFill="1" applyBorder="1" applyAlignment="1" applyProtection="1">
      <alignment horizontal="center" vertical="center"/>
      <protection locked="0"/>
    </xf>
    <xf numFmtId="2" fontId="1" fillId="35" borderId="11" xfId="0" applyNumberFormat="1" applyFont="1" applyFill="1" applyBorder="1" applyAlignment="1" applyProtection="1">
      <alignment horizontal="center" vertical="center"/>
      <protection/>
    </xf>
    <xf numFmtId="0" fontId="9" fillId="35" borderId="34" xfId="0" applyFont="1" applyFill="1" applyBorder="1" applyAlignment="1">
      <alignment horizontal="center" vertical="center" textRotation="9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aprastas 2" xfId="59"/>
    <cellStyle name="Paprastas 3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62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Q7" sqref="Q7"/>
    </sheetView>
  </sheetViews>
  <sheetFormatPr defaultColWidth="9.140625" defaultRowHeight="12.75"/>
  <cols>
    <col min="1" max="1" width="9.140625" style="1" customWidth="1"/>
    <col min="2" max="2" width="24.7109375" style="4" customWidth="1"/>
    <col min="3" max="3" width="5.00390625" style="5" customWidth="1"/>
    <col min="4" max="4" width="6.57421875" style="5" customWidth="1"/>
    <col min="5" max="5" width="7.421875" style="1" customWidth="1"/>
    <col min="6" max="6" width="8.8515625" style="1" customWidth="1"/>
    <col min="7" max="7" width="11.140625" style="1" customWidth="1"/>
    <col min="8" max="8" width="8.28125" style="1" customWidth="1"/>
    <col min="9" max="9" width="7.28125" style="1" customWidth="1"/>
    <col min="10" max="10" width="12.00390625" style="1" customWidth="1"/>
    <col min="11" max="11" width="6.8515625" style="1" customWidth="1"/>
    <col min="12" max="12" width="11.28125" style="28" customWidth="1"/>
    <col min="13" max="13" width="9.421875" style="1" customWidth="1"/>
    <col min="14" max="14" width="10.7109375" style="26" customWidth="1"/>
    <col min="15" max="15" width="11.421875" style="26" customWidth="1"/>
    <col min="16" max="16" width="13.140625" style="26" customWidth="1"/>
    <col min="17" max="17" width="5.8515625" style="1" customWidth="1"/>
    <col min="18" max="19" width="10.8515625" style="1" customWidth="1"/>
    <col min="20" max="20" width="12.421875" style="1" bestFit="1" customWidth="1"/>
    <col min="21" max="21" width="9.140625" style="1" customWidth="1"/>
    <col min="22" max="22" width="10.421875" style="1" bestFit="1" customWidth="1"/>
    <col min="23" max="16384" width="9.140625" style="1" customWidth="1"/>
  </cols>
  <sheetData>
    <row r="1" spans="2:16" s="7" customFormat="1" ht="13.5" customHeight="1">
      <c r="B1" s="187" t="s">
        <v>30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2:16" s="7" customFormat="1" ht="13.5" customHeight="1" thickBot="1"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</row>
    <row r="3" spans="1:16" ht="12.75" customHeight="1">
      <c r="A3" s="184" t="s">
        <v>0</v>
      </c>
      <c r="B3" s="202" t="s">
        <v>1</v>
      </c>
      <c r="C3" s="188" t="s">
        <v>2</v>
      </c>
      <c r="D3" s="188" t="s">
        <v>10</v>
      </c>
      <c r="E3" s="199" t="s">
        <v>11</v>
      </c>
      <c r="F3" s="200"/>
      <c r="G3" s="200"/>
      <c r="H3" s="201"/>
      <c r="I3" s="188" t="s">
        <v>3</v>
      </c>
      <c r="J3" s="188" t="s">
        <v>12</v>
      </c>
      <c r="K3" s="188" t="s">
        <v>4</v>
      </c>
      <c r="L3" s="190" t="s">
        <v>5</v>
      </c>
      <c r="M3" s="188" t="s">
        <v>13</v>
      </c>
      <c r="N3" s="197" t="s">
        <v>14</v>
      </c>
      <c r="O3" s="192" t="s">
        <v>20</v>
      </c>
      <c r="P3" s="195" t="s">
        <v>21</v>
      </c>
    </row>
    <row r="4" spans="1:19" s="2" customFormat="1" ht="33.75">
      <c r="A4" s="185"/>
      <c r="B4" s="203"/>
      <c r="C4" s="189"/>
      <c r="D4" s="189"/>
      <c r="E4" s="6" t="s">
        <v>15</v>
      </c>
      <c r="F4" s="6" t="s">
        <v>16</v>
      </c>
      <c r="G4" s="6" t="s">
        <v>17</v>
      </c>
      <c r="H4" s="6" t="s">
        <v>18</v>
      </c>
      <c r="I4" s="189"/>
      <c r="J4" s="189"/>
      <c r="K4" s="189"/>
      <c r="L4" s="191"/>
      <c r="M4" s="189"/>
      <c r="N4" s="198"/>
      <c r="O4" s="193"/>
      <c r="P4" s="196"/>
      <c r="R4" s="31"/>
      <c r="S4" s="31"/>
    </row>
    <row r="5" spans="1:19" s="3" customFormat="1" ht="13.5" customHeight="1" thickBot="1">
      <c r="A5" s="186"/>
      <c r="B5" s="204"/>
      <c r="C5" s="8" t="s">
        <v>6</v>
      </c>
      <c r="D5" s="8" t="s">
        <v>7</v>
      </c>
      <c r="E5" s="8" t="s">
        <v>8</v>
      </c>
      <c r="F5" s="8" t="s">
        <v>8</v>
      </c>
      <c r="G5" s="8" t="s">
        <v>8</v>
      </c>
      <c r="H5" s="8" t="s">
        <v>8</v>
      </c>
      <c r="I5" s="8" t="s">
        <v>19</v>
      </c>
      <c r="J5" s="8" t="s">
        <v>8</v>
      </c>
      <c r="K5" s="8" t="s">
        <v>19</v>
      </c>
      <c r="L5" s="27" t="s">
        <v>29</v>
      </c>
      <c r="M5" s="8" t="s">
        <v>9</v>
      </c>
      <c r="N5" s="25" t="s">
        <v>28</v>
      </c>
      <c r="O5" s="29" t="s">
        <v>22</v>
      </c>
      <c r="P5" s="30" t="s">
        <v>23</v>
      </c>
      <c r="R5" s="18"/>
      <c r="S5" s="18"/>
    </row>
    <row r="6" spans="1:19" s="3" customFormat="1" ht="13.5" customHeight="1" thickBot="1">
      <c r="A6" s="32">
        <v>1</v>
      </c>
      <c r="B6" s="68">
        <v>2</v>
      </c>
      <c r="C6" s="68">
        <v>3</v>
      </c>
      <c r="D6" s="68">
        <v>4</v>
      </c>
      <c r="E6" s="68">
        <v>5</v>
      </c>
      <c r="F6" s="68">
        <v>6</v>
      </c>
      <c r="G6" s="68">
        <v>7</v>
      </c>
      <c r="H6" s="68">
        <v>8</v>
      </c>
      <c r="I6" s="68">
        <v>9</v>
      </c>
      <c r="J6" s="68">
        <v>10</v>
      </c>
      <c r="K6" s="68">
        <v>11</v>
      </c>
      <c r="L6" s="69">
        <v>12</v>
      </c>
      <c r="M6" s="69">
        <v>13</v>
      </c>
      <c r="N6" s="69">
        <v>14</v>
      </c>
      <c r="O6" s="70">
        <v>15</v>
      </c>
      <c r="P6" s="71">
        <v>16</v>
      </c>
      <c r="R6" s="18"/>
      <c r="S6" s="18"/>
    </row>
    <row r="7" spans="1:19" s="9" customFormat="1" ht="12.75" customHeight="1">
      <c r="A7" s="182" t="s">
        <v>24</v>
      </c>
      <c r="B7" s="89" t="s">
        <v>32</v>
      </c>
      <c r="C7" s="54">
        <v>52</v>
      </c>
      <c r="D7" s="54">
        <v>2009</v>
      </c>
      <c r="E7" s="90">
        <v>11.089</v>
      </c>
      <c r="F7" s="90">
        <v>8.282234</v>
      </c>
      <c r="G7" s="90">
        <v>2.806767</v>
      </c>
      <c r="H7" s="90">
        <v>0</v>
      </c>
      <c r="I7" s="128">
        <v>2687.24</v>
      </c>
      <c r="J7" s="90">
        <f>H7</f>
        <v>0</v>
      </c>
      <c r="K7" s="128">
        <v>2687.24</v>
      </c>
      <c r="L7" s="99">
        <f>J7/K7</f>
        <v>0</v>
      </c>
      <c r="M7" s="100">
        <v>307.38</v>
      </c>
      <c r="N7" s="100">
        <f>L7*M7</f>
        <v>0</v>
      </c>
      <c r="O7" s="100">
        <f>L7*60*1000</f>
        <v>0</v>
      </c>
      <c r="P7" s="100">
        <f>N7*60</f>
        <v>0</v>
      </c>
      <c r="Q7" s="11"/>
      <c r="R7" s="10"/>
      <c r="S7" s="10"/>
    </row>
    <row r="8" spans="1:22" s="9" customFormat="1" ht="12.75">
      <c r="A8" s="183"/>
      <c r="B8" s="101" t="s">
        <v>217</v>
      </c>
      <c r="C8" s="102">
        <v>36</v>
      </c>
      <c r="D8" s="33">
        <v>1967</v>
      </c>
      <c r="E8" s="74">
        <f>+F8+G8+H8</f>
        <v>13.857683999999999</v>
      </c>
      <c r="F8" s="103">
        <v>5.6354999999999995</v>
      </c>
      <c r="G8" s="103">
        <v>8.222184</v>
      </c>
      <c r="H8" s="103">
        <v>0</v>
      </c>
      <c r="I8" s="104">
        <v>2249.59</v>
      </c>
      <c r="J8" s="103">
        <v>0</v>
      </c>
      <c r="K8" s="104">
        <v>2249.59</v>
      </c>
      <c r="L8" s="48">
        <f>+J8/K8</f>
        <v>0</v>
      </c>
      <c r="M8" s="45">
        <v>312.83</v>
      </c>
      <c r="N8" s="45">
        <f>+L8*M8</f>
        <v>0</v>
      </c>
      <c r="O8" s="45">
        <f>+L8*60*1000</f>
        <v>0</v>
      </c>
      <c r="P8" s="45">
        <f>+N8*60</f>
        <v>0</v>
      </c>
      <c r="Q8" s="10"/>
      <c r="R8" s="10"/>
      <c r="S8" s="10"/>
      <c r="T8" s="12"/>
      <c r="U8" s="13"/>
      <c r="V8" s="13"/>
    </row>
    <row r="9" spans="1:19" s="9" customFormat="1" ht="12.75">
      <c r="A9" s="183"/>
      <c r="B9" s="101" t="s">
        <v>218</v>
      </c>
      <c r="C9" s="102">
        <v>55</v>
      </c>
      <c r="D9" s="33">
        <v>1974</v>
      </c>
      <c r="E9" s="74">
        <f>+F9+G9+H9</f>
        <v>12.227988</v>
      </c>
      <c r="F9" s="103">
        <v>5.257178000000001</v>
      </c>
      <c r="G9" s="103">
        <v>6.97081</v>
      </c>
      <c r="H9" s="103">
        <v>0</v>
      </c>
      <c r="I9" s="104">
        <v>2582.18</v>
      </c>
      <c r="J9" s="103">
        <v>0</v>
      </c>
      <c r="K9" s="104">
        <v>2582.18</v>
      </c>
      <c r="L9" s="48">
        <f>+J9/K9</f>
        <v>0</v>
      </c>
      <c r="M9" s="45">
        <v>312.83</v>
      </c>
      <c r="N9" s="45">
        <f>+L9*M9</f>
        <v>0</v>
      </c>
      <c r="O9" s="45">
        <f>+L9*60*1000</f>
        <v>0</v>
      </c>
      <c r="P9" s="45">
        <f>+N9*60</f>
        <v>0</v>
      </c>
      <c r="R9" s="10"/>
      <c r="S9" s="10"/>
    </row>
    <row r="10" spans="1:19" s="9" customFormat="1" ht="12.75">
      <c r="A10" s="183"/>
      <c r="B10" s="101" t="s">
        <v>219</v>
      </c>
      <c r="C10" s="102">
        <v>30</v>
      </c>
      <c r="D10" s="33">
        <v>1972</v>
      </c>
      <c r="E10" s="74">
        <f>+F10+G10+H10</f>
        <v>6.989988</v>
      </c>
      <c r="F10" s="103">
        <v>4.2015780000000005</v>
      </c>
      <c r="G10" s="103">
        <v>2.7884100000000003</v>
      </c>
      <c r="H10" s="103">
        <v>0</v>
      </c>
      <c r="I10" s="104">
        <v>1569.65</v>
      </c>
      <c r="J10" s="103">
        <v>0</v>
      </c>
      <c r="K10" s="104">
        <v>1569.65</v>
      </c>
      <c r="L10" s="48">
        <f>+J10/K10</f>
        <v>0</v>
      </c>
      <c r="M10" s="45">
        <v>312.83</v>
      </c>
      <c r="N10" s="45">
        <f>+L10*M10</f>
        <v>0</v>
      </c>
      <c r="O10" s="45">
        <f>+L10*60*1000</f>
        <v>0</v>
      </c>
      <c r="P10" s="45">
        <f>+N10*60</f>
        <v>0</v>
      </c>
      <c r="R10" s="10"/>
      <c r="S10" s="10"/>
    </row>
    <row r="11" spans="1:19" s="9" customFormat="1" ht="12.75">
      <c r="A11" s="183"/>
      <c r="B11" s="73" t="s">
        <v>618</v>
      </c>
      <c r="C11" s="33">
        <v>36</v>
      </c>
      <c r="D11" s="33" t="s">
        <v>31</v>
      </c>
      <c r="E11" s="56">
        <f>F11+G11+H11</f>
        <v>9.2</v>
      </c>
      <c r="F11" s="56">
        <v>3.3</v>
      </c>
      <c r="G11" s="56">
        <v>5.9</v>
      </c>
      <c r="H11" s="56">
        <v>0</v>
      </c>
      <c r="I11" s="75">
        <v>2305.31</v>
      </c>
      <c r="J11" s="56">
        <v>0</v>
      </c>
      <c r="K11" s="75">
        <v>2232.72</v>
      </c>
      <c r="L11" s="142">
        <f>J11/K11</f>
        <v>0</v>
      </c>
      <c r="M11" s="55">
        <v>209.8</v>
      </c>
      <c r="N11" s="141">
        <f>L11*M11</f>
        <v>0</v>
      </c>
      <c r="O11" s="141">
        <f aca="true" t="shared" si="0" ref="O11:O26">L11*60*1000</f>
        <v>0</v>
      </c>
      <c r="P11" s="141">
        <f>O11*M11/1000</f>
        <v>0</v>
      </c>
      <c r="R11" s="10"/>
      <c r="S11" s="10"/>
    </row>
    <row r="12" spans="1:19" s="9" customFormat="1" ht="12.75">
      <c r="A12" s="183"/>
      <c r="B12" s="73" t="s">
        <v>619</v>
      </c>
      <c r="C12" s="33">
        <v>55</v>
      </c>
      <c r="D12" s="33" t="s">
        <v>31</v>
      </c>
      <c r="E12" s="56">
        <f>F12+G12+H12</f>
        <v>13.200000000000001</v>
      </c>
      <c r="F12" s="56">
        <v>4.4</v>
      </c>
      <c r="G12" s="56">
        <v>8.8</v>
      </c>
      <c r="H12" s="56">
        <v>0</v>
      </c>
      <c r="I12" s="75">
        <v>2979.08</v>
      </c>
      <c r="J12" s="56">
        <v>0</v>
      </c>
      <c r="K12" s="75">
        <v>2979.1</v>
      </c>
      <c r="L12" s="142">
        <f>J12/K12</f>
        <v>0</v>
      </c>
      <c r="M12" s="55">
        <v>209.8</v>
      </c>
      <c r="N12" s="141">
        <f>L12*M12</f>
        <v>0</v>
      </c>
      <c r="O12" s="141">
        <f t="shared" si="0"/>
        <v>0</v>
      </c>
      <c r="P12" s="141">
        <f>O12*M12/1000</f>
        <v>0</v>
      </c>
      <c r="R12" s="10"/>
      <c r="S12" s="10"/>
    </row>
    <row r="13" spans="1:19" s="9" customFormat="1" ht="12.75">
      <c r="A13" s="183"/>
      <c r="B13" s="73" t="s">
        <v>33</v>
      </c>
      <c r="C13" s="33">
        <v>40</v>
      </c>
      <c r="D13" s="33">
        <v>2007</v>
      </c>
      <c r="E13" s="74">
        <v>11.422</v>
      </c>
      <c r="F13" s="74">
        <v>8.215455</v>
      </c>
      <c r="G13" s="74">
        <v>3.2</v>
      </c>
      <c r="H13" s="74">
        <v>0.006544</v>
      </c>
      <c r="I13" s="75">
        <v>2350.71</v>
      </c>
      <c r="J13" s="74">
        <f>H13</f>
        <v>0.006544</v>
      </c>
      <c r="K13" s="75">
        <v>2350.71</v>
      </c>
      <c r="L13" s="48">
        <f>J13/K13</f>
        <v>2.783839776067656E-06</v>
      </c>
      <c r="M13" s="45">
        <v>307.38</v>
      </c>
      <c r="N13" s="45">
        <f>L13*M13</f>
        <v>0.0008556966703676762</v>
      </c>
      <c r="O13" s="45">
        <f t="shared" si="0"/>
        <v>0.16703038656405936</v>
      </c>
      <c r="P13" s="45">
        <f>N13*60</f>
        <v>0.05134180022206057</v>
      </c>
      <c r="R13" s="10"/>
      <c r="S13" s="10"/>
    </row>
    <row r="14" spans="1:16" s="9" customFormat="1" ht="11.25" customHeight="1">
      <c r="A14" s="183"/>
      <c r="B14" s="121" t="s">
        <v>284</v>
      </c>
      <c r="C14" s="59">
        <v>55</v>
      </c>
      <c r="D14" s="59">
        <v>1990</v>
      </c>
      <c r="E14" s="56">
        <v>19.855995</v>
      </c>
      <c r="F14" s="56">
        <v>7.089</v>
      </c>
      <c r="G14" s="56">
        <v>12.56</v>
      </c>
      <c r="H14" s="56">
        <v>0.206995</v>
      </c>
      <c r="I14" s="143">
        <v>3527.73</v>
      </c>
      <c r="J14" s="56">
        <v>0.206995</v>
      </c>
      <c r="K14" s="143">
        <v>3527.73</v>
      </c>
      <c r="L14" s="142">
        <v>5.8E-05</v>
      </c>
      <c r="M14" s="55">
        <v>281.7</v>
      </c>
      <c r="N14" s="141">
        <f>L14*M14*1.09</f>
        <v>0.017809074</v>
      </c>
      <c r="O14" s="141">
        <f t="shared" si="0"/>
        <v>3.48</v>
      </c>
      <c r="P14" s="141">
        <f aca="true" t="shared" si="1" ref="P14:P26">O14*M14/1000</f>
        <v>0.980316</v>
      </c>
    </row>
    <row r="15" spans="1:19" s="9" customFormat="1" ht="12.75">
      <c r="A15" s="183"/>
      <c r="B15" s="92" t="s">
        <v>157</v>
      </c>
      <c r="C15" s="93">
        <v>101</v>
      </c>
      <c r="D15" s="33" t="s">
        <v>31</v>
      </c>
      <c r="E15" s="94">
        <v>25</v>
      </c>
      <c r="F15" s="94">
        <v>8.72</v>
      </c>
      <c r="G15" s="94">
        <v>16</v>
      </c>
      <c r="H15" s="94">
        <v>0.28</v>
      </c>
      <c r="I15" s="93">
        <v>4440.62</v>
      </c>
      <c r="J15" s="94">
        <v>0.28</v>
      </c>
      <c r="K15" s="93">
        <v>4440.62</v>
      </c>
      <c r="L15" s="48">
        <f aca="true" t="shared" si="2" ref="L15:L27">J15/K15</f>
        <v>6.30542581891718E-05</v>
      </c>
      <c r="M15" s="45">
        <v>256</v>
      </c>
      <c r="N15" s="45">
        <f aca="true" t="shared" si="3" ref="N15:N27">L15*M15</f>
        <v>0.01614189009642798</v>
      </c>
      <c r="O15" s="45">
        <f t="shared" si="0"/>
        <v>3.7832554913503076</v>
      </c>
      <c r="P15" s="45">
        <f t="shared" si="1"/>
        <v>0.9685134057856788</v>
      </c>
      <c r="R15" s="10"/>
      <c r="S15" s="10"/>
    </row>
    <row r="16" spans="1:19" s="9" customFormat="1" ht="12.75">
      <c r="A16" s="183"/>
      <c r="B16" s="121" t="s">
        <v>452</v>
      </c>
      <c r="C16" s="59">
        <v>31</v>
      </c>
      <c r="D16" s="59">
        <v>2007</v>
      </c>
      <c r="E16" s="56">
        <v>5.505</v>
      </c>
      <c r="F16" s="56">
        <v>1.922139</v>
      </c>
      <c r="G16" s="56">
        <v>3.388861</v>
      </c>
      <c r="H16" s="56">
        <v>0.194</v>
      </c>
      <c r="I16" s="143">
        <v>2889.73</v>
      </c>
      <c r="J16" s="56">
        <v>0.19</v>
      </c>
      <c r="K16" s="143">
        <v>2478.67</v>
      </c>
      <c r="L16" s="142">
        <f t="shared" si="2"/>
        <v>7.665401203064547E-05</v>
      </c>
      <c r="M16" s="55">
        <v>329.943</v>
      </c>
      <c r="N16" s="141">
        <f t="shared" si="3"/>
        <v>0.025291454691427257</v>
      </c>
      <c r="O16" s="141">
        <f t="shared" si="0"/>
        <v>4.599240721838728</v>
      </c>
      <c r="P16" s="141">
        <f t="shared" si="1"/>
        <v>1.5174872814856355</v>
      </c>
      <c r="R16" s="10"/>
      <c r="S16" s="10"/>
    </row>
    <row r="17" spans="1:19" s="9" customFormat="1" ht="12.75" customHeight="1">
      <c r="A17" s="183"/>
      <c r="B17" s="73" t="s">
        <v>491</v>
      </c>
      <c r="C17" s="75">
        <v>100</v>
      </c>
      <c r="D17" s="33" t="s">
        <v>31</v>
      </c>
      <c r="E17" s="74">
        <f>F17+G17+H17</f>
        <v>22.445183999999998</v>
      </c>
      <c r="F17" s="74">
        <v>6.09858</v>
      </c>
      <c r="G17" s="74">
        <v>16</v>
      </c>
      <c r="H17" s="74">
        <v>0.346604</v>
      </c>
      <c r="I17" s="75">
        <v>4428.23</v>
      </c>
      <c r="J17" s="74">
        <v>0.346604</v>
      </c>
      <c r="K17" s="75">
        <v>4428.23</v>
      </c>
      <c r="L17" s="48">
        <f t="shared" si="2"/>
        <v>7.827145383144056E-05</v>
      </c>
      <c r="M17" s="45">
        <v>221.4</v>
      </c>
      <c r="N17" s="45">
        <f t="shared" si="3"/>
        <v>0.01732929987828094</v>
      </c>
      <c r="O17" s="45">
        <f t="shared" si="0"/>
        <v>4.696287229886434</v>
      </c>
      <c r="P17" s="45">
        <f t="shared" si="1"/>
        <v>1.0397579926968565</v>
      </c>
      <c r="R17" s="10"/>
      <c r="S17" s="10"/>
    </row>
    <row r="18" spans="1:26" s="14" customFormat="1" ht="12.75">
      <c r="A18" s="183"/>
      <c r="B18" s="73" t="s">
        <v>492</v>
      </c>
      <c r="C18" s="75">
        <v>28</v>
      </c>
      <c r="D18" s="33" t="s">
        <v>31</v>
      </c>
      <c r="E18" s="74">
        <f>F18+G18+H18</f>
        <v>6.461804</v>
      </c>
      <c r="F18" s="74">
        <v>2.239002</v>
      </c>
      <c r="G18" s="74">
        <v>4.08</v>
      </c>
      <c r="H18" s="74">
        <v>0.142802</v>
      </c>
      <c r="I18" s="75">
        <v>1537.65</v>
      </c>
      <c r="J18" s="74">
        <v>0.14279</v>
      </c>
      <c r="K18" s="75">
        <v>1537.65</v>
      </c>
      <c r="L18" s="48">
        <f t="shared" si="2"/>
        <v>9.286248496081683E-05</v>
      </c>
      <c r="M18" s="45">
        <v>221.4</v>
      </c>
      <c r="N18" s="45">
        <f t="shared" si="3"/>
        <v>0.020559754170324848</v>
      </c>
      <c r="O18" s="45">
        <f t="shared" si="0"/>
        <v>5.571749097649009</v>
      </c>
      <c r="P18" s="45">
        <f t="shared" si="1"/>
        <v>1.2335852502194906</v>
      </c>
      <c r="Q18" s="11"/>
      <c r="R18" s="10"/>
      <c r="S18" s="10"/>
      <c r="T18" s="9"/>
      <c r="U18" s="9"/>
      <c r="V18" s="9"/>
      <c r="W18" s="9"/>
      <c r="X18" s="9"/>
      <c r="Y18" s="9"/>
      <c r="Z18" s="9"/>
    </row>
    <row r="19" spans="1:26" s="9" customFormat="1" ht="12.75">
      <c r="A19" s="183"/>
      <c r="B19" s="73" t="s">
        <v>113</v>
      </c>
      <c r="C19" s="33">
        <v>50</v>
      </c>
      <c r="D19" s="33">
        <v>2005</v>
      </c>
      <c r="E19" s="74">
        <v>10.9</v>
      </c>
      <c r="F19" s="74">
        <v>6.528</v>
      </c>
      <c r="G19" s="74">
        <v>4.08</v>
      </c>
      <c r="H19" s="74">
        <f>E19-F19-G19</f>
        <v>0.2920000000000007</v>
      </c>
      <c r="I19" s="75">
        <v>2638.84</v>
      </c>
      <c r="J19" s="74">
        <f>H19</f>
        <v>0.2920000000000007</v>
      </c>
      <c r="K19" s="75">
        <f>I19</f>
        <v>2638.84</v>
      </c>
      <c r="L19" s="48">
        <f t="shared" si="2"/>
        <v>0.00011065468160252258</v>
      </c>
      <c r="M19" s="45">
        <v>288.2</v>
      </c>
      <c r="N19" s="45">
        <f t="shared" si="3"/>
        <v>0.031890679237847004</v>
      </c>
      <c r="O19" s="45">
        <f t="shared" si="0"/>
        <v>6.639280896151354</v>
      </c>
      <c r="P19" s="45">
        <f t="shared" si="1"/>
        <v>1.9134407542708203</v>
      </c>
      <c r="R19" s="10"/>
      <c r="S19" s="10"/>
      <c r="Z19" s="14"/>
    </row>
    <row r="20" spans="1:19" s="9" customFormat="1" ht="12.75">
      <c r="A20" s="183"/>
      <c r="B20" s="73" t="s">
        <v>493</v>
      </c>
      <c r="C20" s="75">
        <v>25</v>
      </c>
      <c r="D20" s="33" t="s">
        <v>31</v>
      </c>
      <c r="E20" s="74">
        <f>F20+G20+H20</f>
        <v>5.303</v>
      </c>
      <c r="F20" s="74">
        <v>1.173</v>
      </c>
      <c r="G20" s="74">
        <v>3.92</v>
      </c>
      <c r="H20" s="74">
        <v>0.21</v>
      </c>
      <c r="I20" s="75">
        <v>1257.05</v>
      </c>
      <c r="J20" s="74">
        <v>0.2</v>
      </c>
      <c r="K20" s="75">
        <v>1257.05</v>
      </c>
      <c r="L20" s="48">
        <f t="shared" si="2"/>
        <v>0.0001591026609920051</v>
      </c>
      <c r="M20" s="45">
        <v>221.4</v>
      </c>
      <c r="N20" s="45">
        <f t="shared" si="3"/>
        <v>0.035225329143629934</v>
      </c>
      <c r="O20" s="45">
        <f t="shared" si="0"/>
        <v>9.546159659520306</v>
      </c>
      <c r="P20" s="45">
        <f t="shared" si="1"/>
        <v>2.113519748617796</v>
      </c>
      <c r="Q20" s="11"/>
      <c r="R20" s="10"/>
      <c r="S20" s="10"/>
    </row>
    <row r="21" spans="1:19" s="9" customFormat="1" ht="12.75">
      <c r="A21" s="183"/>
      <c r="B21" s="121" t="s">
        <v>342</v>
      </c>
      <c r="C21" s="59">
        <v>39</v>
      </c>
      <c r="D21" s="59">
        <v>1985</v>
      </c>
      <c r="E21" s="56">
        <f>F21+G21+H21</f>
        <v>10.86</v>
      </c>
      <c r="F21" s="56">
        <v>4.13</v>
      </c>
      <c r="G21" s="56">
        <v>6.32</v>
      </c>
      <c r="H21" s="56">
        <v>0.41</v>
      </c>
      <c r="I21" s="143">
        <v>2285.27</v>
      </c>
      <c r="J21" s="56">
        <v>0.41</v>
      </c>
      <c r="K21" s="143">
        <v>2285.27</v>
      </c>
      <c r="L21" s="142">
        <f t="shared" si="2"/>
        <v>0.00017940987279402434</v>
      </c>
      <c r="M21" s="55">
        <v>320.7</v>
      </c>
      <c r="N21" s="141">
        <f t="shared" si="3"/>
        <v>0.05753674620504361</v>
      </c>
      <c r="O21" s="141">
        <f t="shared" si="0"/>
        <v>10.76459236764146</v>
      </c>
      <c r="P21" s="141">
        <f t="shared" si="1"/>
        <v>3.452204772302616</v>
      </c>
      <c r="R21" s="10"/>
      <c r="S21" s="10"/>
    </row>
    <row r="22" spans="1:19" s="9" customFormat="1" ht="12.75">
      <c r="A22" s="183"/>
      <c r="B22" s="121" t="s">
        <v>453</v>
      </c>
      <c r="C22" s="59">
        <v>51</v>
      </c>
      <c r="D22" s="59">
        <v>2007</v>
      </c>
      <c r="E22" s="56">
        <v>8.648</v>
      </c>
      <c r="F22" s="56">
        <v>3.538839</v>
      </c>
      <c r="G22" s="56">
        <v>4.494161</v>
      </c>
      <c r="H22" s="56">
        <v>0.615</v>
      </c>
      <c r="I22" s="143">
        <v>3983.31</v>
      </c>
      <c r="J22" s="56">
        <v>0.62</v>
      </c>
      <c r="K22" s="143">
        <v>3043.8</v>
      </c>
      <c r="L22" s="142">
        <f t="shared" si="2"/>
        <v>0.00020369275248045205</v>
      </c>
      <c r="M22" s="55">
        <v>334.412</v>
      </c>
      <c r="N22" s="141">
        <f t="shared" si="3"/>
        <v>0.06811730074249293</v>
      </c>
      <c r="O22" s="141">
        <f t="shared" si="0"/>
        <v>12.221565148827123</v>
      </c>
      <c r="P22" s="141">
        <f t="shared" si="1"/>
        <v>4.087038044549575</v>
      </c>
      <c r="Q22" s="11"/>
      <c r="R22" s="10"/>
      <c r="S22" s="10"/>
    </row>
    <row r="23" spans="1:22" s="9" customFormat="1" ht="12.75" customHeight="1">
      <c r="A23" s="183"/>
      <c r="B23" s="73" t="s">
        <v>621</v>
      </c>
      <c r="C23" s="33">
        <v>45</v>
      </c>
      <c r="D23" s="33" t="s">
        <v>31</v>
      </c>
      <c r="E23" s="56">
        <f>F23+G23+H23</f>
        <v>10.9</v>
      </c>
      <c r="F23" s="56">
        <v>3.1</v>
      </c>
      <c r="G23" s="56">
        <v>7.3</v>
      </c>
      <c r="H23" s="56">
        <v>0.5</v>
      </c>
      <c r="I23" s="75">
        <v>2345.22</v>
      </c>
      <c r="J23" s="56">
        <v>0.5</v>
      </c>
      <c r="K23" s="75">
        <v>2345.2</v>
      </c>
      <c r="L23" s="142">
        <f t="shared" si="2"/>
        <v>0.00021320143271362786</v>
      </c>
      <c r="M23" s="55">
        <v>209.8</v>
      </c>
      <c r="N23" s="141">
        <f t="shared" si="3"/>
        <v>0.04472966058331913</v>
      </c>
      <c r="O23" s="141">
        <f t="shared" si="0"/>
        <v>12.792085962817671</v>
      </c>
      <c r="P23" s="141">
        <f t="shared" si="1"/>
        <v>2.683779634999148</v>
      </c>
      <c r="Q23" s="10"/>
      <c r="R23" s="10"/>
      <c r="S23" s="10"/>
      <c r="T23" s="12"/>
      <c r="U23" s="13"/>
      <c r="V23" s="13"/>
    </row>
    <row r="24" spans="1:26" s="16" customFormat="1" ht="12.75">
      <c r="A24" s="183"/>
      <c r="B24" s="73" t="s">
        <v>114</v>
      </c>
      <c r="C24" s="33">
        <v>34</v>
      </c>
      <c r="D24" s="33">
        <v>2002</v>
      </c>
      <c r="E24" s="74">
        <v>8.297</v>
      </c>
      <c r="F24" s="74">
        <v>6.426</v>
      </c>
      <c r="G24" s="74">
        <v>1.152</v>
      </c>
      <c r="H24" s="74">
        <f>E24-F24-G24</f>
        <v>0.7190000000000005</v>
      </c>
      <c r="I24" s="75">
        <v>3219.59</v>
      </c>
      <c r="J24" s="74">
        <f>H24</f>
        <v>0.7190000000000005</v>
      </c>
      <c r="K24" s="75">
        <f>I24</f>
        <v>3219.59</v>
      </c>
      <c r="L24" s="48">
        <f t="shared" si="2"/>
        <v>0.0002233203606670416</v>
      </c>
      <c r="M24" s="45">
        <v>288.2</v>
      </c>
      <c r="N24" s="45">
        <f t="shared" si="3"/>
        <v>0.06436092794424139</v>
      </c>
      <c r="O24" s="45">
        <f t="shared" si="0"/>
        <v>13.399221640022496</v>
      </c>
      <c r="P24" s="45">
        <f t="shared" si="1"/>
        <v>3.861655676654483</v>
      </c>
      <c r="Q24" s="9"/>
      <c r="R24" s="10"/>
      <c r="S24" s="10"/>
      <c r="T24" s="9"/>
      <c r="U24" s="9"/>
      <c r="V24" s="9"/>
      <c r="W24" s="9"/>
      <c r="X24" s="9"/>
      <c r="Y24" s="9"/>
      <c r="Z24" s="9"/>
    </row>
    <row r="25" spans="1:25" s="16" customFormat="1" ht="12.75">
      <c r="A25" s="183"/>
      <c r="B25" s="73" t="s">
        <v>602</v>
      </c>
      <c r="C25" s="33">
        <v>45</v>
      </c>
      <c r="D25" s="33">
        <v>1990</v>
      </c>
      <c r="E25" s="74">
        <v>12.457</v>
      </c>
      <c r="F25" s="74">
        <v>4.705</v>
      </c>
      <c r="G25" s="74">
        <v>7.2</v>
      </c>
      <c r="H25" s="74">
        <v>0.55</v>
      </c>
      <c r="I25" s="75">
        <v>2333.65</v>
      </c>
      <c r="J25" s="74">
        <v>0.55</v>
      </c>
      <c r="K25" s="75">
        <v>2333.65</v>
      </c>
      <c r="L25" s="48">
        <f t="shared" si="2"/>
        <v>0.00023568230025925054</v>
      </c>
      <c r="M25" s="45">
        <v>210.7</v>
      </c>
      <c r="N25" s="45">
        <f t="shared" si="3"/>
        <v>0.04965826066462409</v>
      </c>
      <c r="O25" s="45">
        <f t="shared" si="0"/>
        <v>14.140938015555031</v>
      </c>
      <c r="P25" s="45">
        <f t="shared" si="1"/>
        <v>2.979495639877445</v>
      </c>
      <c r="Q25" s="9"/>
      <c r="R25" s="10"/>
      <c r="S25" s="10"/>
      <c r="T25" s="9"/>
      <c r="U25" s="9"/>
      <c r="V25" s="9"/>
      <c r="W25" s="9"/>
      <c r="X25" s="9"/>
      <c r="Y25" s="9"/>
    </row>
    <row r="26" spans="1:26" s="9" customFormat="1" ht="12.75" customHeight="1">
      <c r="A26" s="183"/>
      <c r="B26" s="73" t="s">
        <v>177</v>
      </c>
      <c r="C26" s="33">
        <v>75</v>
      </c>
      <c r="D26" s="33">
        <v>1976</v>
      </c>
      <c r="E26" s="74">
        <v>20.91</v>
      </c>
      <c r="F26" s="74">
        <v>7.864</v>
      </c>
      <c r="G26" s="74">
        <v>12</v>
      </c>
      <c r="H26" s="74">
        <v>1.046</v>
      </c>
      <c r="I26" s="75">
        <v>3969.47</v>
      </c>
      <c r="J26" s="74">
        <v>1.046</v>
      </c>
      <c r="K26" s="75">
        <v>3969.47</v>
      </c>
      <c r="L26" s="48">
        <f t="shared" si="2"/>
        <v>0.0002635112496126687</v>
      </c>
      <c r="M26" s="45">
        <v>267.81</v>
      </c>
      <c r="N26" s="45">
        <f t="shared" si="3"/>
        <v>0.0705709477587688</v>
      </c>
      <c r="O26" s="45">
        <f t="shared" si="0"/>
        <v>15.810674976760124</v>
      </c>
      <c r="P26" s="45">
        <f t="shared" si="1"/>
        <v>4.234256865526128</v>
      </c>
      <c r="R26" s="10"/>
      <c r="S26" s="10"/>
      <c r="Z26" s="16"/>
    </row>
    <row r="27" spans="1:19" s="9" customFormat="1" ht="12.75" customHeight="1">
      <c r="A27" s="183"/>
      <c r="B27" s="73" t="s">
        <v>572</v>
      </c>
      <c r="C27" s="33">
        <v>50</v>
      </c>
      <c r="D27" s="33">
        <v>1978</v>
      </c>
      <c r="E27" s="74">
        <v>13.3</v>
      </c>
      <c r="F27" s="144">
        <v>4.3959</v>
      </c>
      <c r="G27" s="74">
        <v>8</v>
      </c>
      <c r="H27" s="74">
        <f>E27-F27-G27</f>
        <v>0.9040999999999997</v>
      </c>
      <c r="I27" s="75">
        <v>2590.16</v>
      </c>
      <c r="J27" s="74">
        <v>0.9041</v>
      </c>
      <c r="K27" s="75">
        <v>2590.16</v>
      </c>
      <c r="L27" s="48">
        <f t="shared" si="2"/>
        <v>0.0003490517960280446</v>
      </c>
      <c r="M27" s="45">
        <v>243.179</v>
      </c>
      <c r="N27" s="45">
        <f t="shared" si="3"/>
        <v>0.08488206670630385</v>
      </c>
      <c r="O27" s="45">
        <f>L27*1000*60</f>
        <v>20.943107761682676</v>
      </c>
      <c r="P27" s="45">
        <f>N27*60</f>
        <v>5.092924002378231</v>
      </c>
      <c r="R27" s="10"/>
      <c r="S27" s="10"/>
    </row>
    <row r="28" spans="1:26" s="14" customFormat="1" ht="12.75">
      <c r="A28" s="183"/>
      <c r="B28" s="121" t="s">
        <v>285</v>
      </c>
      <c r="C28" s="59">
        <v>46</v>
      </c>
      <c r="D28" s="59">
        <v>1993</v>
      </c>
      <c r="E28" s="56">
        <v>17.038996</v>
      </c>
      <c r="F28" s="56">
        <v>6.106944</v>
      </c>
      <c r="G28" s="56">
        <v>9.84</v>
      </c>
      <c r="H28" s="56">
        <v>1.092052</v>
      </c>
      <c r="I28" s="143">
        <v>2941.14</v>
      </c>
      <c r="J28" s="56">
        <v>1.005011</v>
      </c>
      <c r="K28" s="143">
        <v>2706.72</v>
      </c>
      <c r="L28" s="142">
        <v>0.000371</v>
      </c>
      <c r="M28" s="55">
        <v>281.7</v>
      </c>
      <c r="N28" s="141">
        <f>L28*M28*1.09</f>
        <v>0.113916663</v>
      </c>
      <c r="O28" s="141">
        <f aca="true" t="shared" si="4" ref="O28:O39">L28*60*1000</f>
        <v>22.26</v>
      </c>
      <c r="P28" s="141">
        <f aca="true" t="shared" si="5" ref="P28:P39">O28*M28/1000</f>
        <v>6.270642</v>
      </c>
      <c r="Q28" s="9"/>
      <c r="R28" s="10"/>
      <c r="S28" s="10"/>
      <c r="T28" s="9"/>
      <c r="U28" s="9"/>
      <c r="V28" s="9"/>
      <c r="W28" s="9"/>
      <c r="X28" s="9"/>
      <c r="Y28" s="9"/>
      <c r="Z28" s="9"/>
    </row>
    <row r="29" spans="1:26" s="9" customFormat="1" ht="12.75">
      <c r="A29" s="183"/>
      <c r="B29" s="73" t="s">
        <v>115</v>
      </c>
      <c r="C29" s="33">
        <v>39</v>
      </c>
      <c r="D29" s="33">
        <v>1991</v>
      </c>
      <c r="E29" s="74">
        <v>10</v>
      </c>
      <c r="F29" s="74">
        <v>5.3</v>
      </c>
      <c r="G29" s="74">
        <v>3.87</v>
      </c>
      <c r="H29" s="74">
        <f>E29-F29-G29</f>
        <v>0.8300000000000001</v>
      </c>
      <c r="I29" s="75">
        <v>2176.55</v>
      </c>
      <c r="J29" s="74">
        <f>H29</f>
        <v>0.8300000000000001</v>
      </c>
      <c r="K29" s="75">
        <f>I29</f>
        <v>2176.55</v>
      </c>
      <c r="L29" s="48">
        <f aca="true" t="shared" si="6" ref="L29:L37">J29/K29</f>
        <v>0.00038133743768808433</v>
      </c>
      <c r="M29" s="45">
        <v>288.2</v>
      </c>
      <c r="N29" s="45">
        <f aca="true" t="shared" si="7" ref="N29:N37">L29*M29</f>
        <v>0.1099014495417059</v>
      </c>
      <c r="O29" s="45">
        <f t="shared" si="4"/>
        <v>22.88024626128506</v>
      </c>
      <c r="P29" s="45">
        <f t="shared" si="5"/>
        <v>6.594086972502354</v>
      </c>
      <c r="R29" s="10"/>
      <c r="S29" s="10"/>
      <c r="Z29" s="14"/>
    </row>
    <row r="30" spans="1:26" s="14" customFormat="1" ht="11.25" customHeight="1">
      <c r="A30" s="183"/>
      <c r="B30" s="92" t="s">
        <v>158</v>
      </c>
      <c r="C30" s="93">
        <v>78</v>
      </c>
      <c r="D30" s="33" t="s">
        <v>31</v>
      </c>
      <c r="E30" s="94">
        <v>22.07</v>
      </c>
      <c r="F30" s="94">
        <v>7.7</v>
      </c>
      <c r="G30" s="94">
        <v>12.48</v>
      </c>
      <c r="H30" s="94">
        <v>1.5</v>
      </c>
      <c r="I30" s="93" t="s">
        <v>151</v>
      </c>
      <c r="J30" s="94">
        <v>1.46</v>
      </c>
      <c r="K30" s="93">
        <v>3799.48</v>
      </c>
      <c r="L30" s="48">
        <f t="shared" si="6"/>
        <v>0.00038426310968869425</v>
      </c>
      <c r="M30" s="45">
        <v>256</v>
      </c>
      <c r="N30" s="45">
        <f t="shared" si="7"/>
        <v>0.09837135608030573</v>
      </c>
      <c r="O30" s="45">
        <f t="shared" si="4"/>
        <v>23.055786581321655</v>
      </c>
      <c r="P30" s="45">
        <f t="shared" si="5"/>
        <v>5.902281364818344</v>
      </c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19" s="9" customFormat="1" ht="12.75">
      <c r="A31" s="183"/>
      <c r="B31" s="73" t="s">
        <v>178</v>
      </c>
      <c r="C31" s="33">
        <v>30</v>
      </c>
      <c r="D31" s="33">
        <v>1980</v>
      </c>
      <c r="E31" s="74">
        <v>8.385</v>
      </c>
      <c r="F31" s="74">
        <v>2.988</v>
      </c>
      <c r="G31" s="74">
        <v>4.8</v>
      </c>
      <c r="H31" s="74">
        <v>0.597</v>
      </c>
      <c r="I31" s="75">
        <v>1495.88</v>
      </c>
      <c r="J31" s="74">
        <v>0.597</v>
      </c>
      <c r="K31" s="75">
        <v>1495.88</v>
      </c>
      <c r="L31" s="48">
        <f t="shared" si="6"/>
        <v>0.0003990961841858972</v>
      </c>
      <c r="M31" s="45">
        <v>267.81</v>
      </c>
      <c r="N31" s="45">
        <f t="shared" si="7"/>
        <v>0.10688194908682513</v>
      </c>
      <c r="O31" s="45">
        <f t="shared" si="4"/>
        <v>23.945771051153834</v>
      </c>
      <c r="P31" s="45">
        <f t="shared" si="5"/>
        <v>6.412916945209508</v>
      </c>
      <c r="R31" s="10"/>
      <c r="S31" s="10"/>
    </row>
    <row r="32" spans="1:26" s="9" customFormat="1" ht="12.75">
      <c r="A32" s="183"/>
      <c r="B32" s="121" t="s">
        <v>845</v>
      </c>
      <c r="C32" s="59">
        <v>65</v>
      </c>
      <c r="D32" s="59" t="s">
        <v>31</v>
      </c>
      <c r="E32" s="74">
        <v>16</v>
      </c>
      <c r="F32" s="74">
        <f>90.5*0.051</f>
        <v>4.6155</v>
      </c>
      <c r="G32" s="74">
        <f>65*0.16</f>
        <v>10.4</v>
      </c>
      <c r="H32" s="74">
        <f>+E32-F32-G32</f>
        <v>0.9844999999999988</v>
      </c>
      <c r="I32" s="44"/>
      <c r="J32" s="74">
        <f>+H32</f>
        <v>0.9844999999999988</v>
      </c>
      <c r="K32" s="75">
        <v>2338.13</v>
      </c>
      <c r="L32" s="48">
        <f t="shared" si="6"/>
        <v>0.00042106298623258707</v>
      </c>
      <c r="M32" s="45">
        <v>347.8</v>
      </c>
      <c r="N32" s="45">
        <f t="shared" si="7"/>
        <v>0.1464457066116938</v>
      </c>
      <c r="O32" s="45">
        <f t="shared" si="4"/>
        <v>25.263779173955225</v>
      </c>
      <c r="P32" s="45">
        <f t="shared" si="5"/>
        <v>8.786742396701628</v>
      </c>
      <c r="R32" s="10"/>
      <c r="S32" s="10"/>
      <c r="Z32" s="14"/>
    </row>
    <row r="33" spans="1:26" s="14" customFormat="1" ht="12.75" customHeight="1">
      <c r="A33" s="183"/>
      <c r="B33" s="121" t="s">
        <v>343</v>
      </c>
      <c r="C33" s="59">
        <v>45</v>
      </c>
      <c r="D33" s="59">
        <v>1991</v>
      </c>
      <c r="E33" s="56">
        <f>F33+G33+H33</f>
        <v>11.08</v>
      </c>
      <c r="F33" s="56">
        <v>3.78</v>
      </c>
      <c r="G33" s="56">
        <v>6.24</v>
      </c>
      <c r="H33" s="56">
        <v>1.06</v>
      </c>
      <c r="I33" s="143">
        <v>2321.73</v>
      </c>
      <c r="J33" s="56">
        <v>1.06</v>
      </c>
      <c r="K33" s="143">
        <v>2321.73</v>
      </c>
      <c r="L33" s="142">
        <f t="shared" si="6"/>
        <v>0.00045655610256145206</v>
      </c>
      <c r="M33" s="55">
        <v>320.7</v>
      </c>
      <c r="N33" s="141">
        <f t="shared" si="7"/>
        <v>0.14641754209145766</v>
      </c>
      <c r="O33" s="141">
        <f t="shared" si="4"/>
        <v>27.393366153687126</v>
      </c>
      <c r="P33" s="141">
        <f t="shared" si="5"/>
        <v>8.785052525487462</v>
      </c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19" s="9" customFormat="1" ht="12.75">
      <c r="A34" s="183"/>
      <c r="B34" s="92" t="s">
        <v>159</v>
      </c>
      <c r="C34" s="93">
        <v>45</v>
      </c>
      <c r="D34" s="33" t="s">
        <v>31</v>
      </c>
      <c r="E34" s="94">
        <v>12.85</v>
      </c>
      <c r="F34" s="94">
        <v>4.55</v>
      </c>
      <c r="G34" s="94">
        <v>7.2</v>
      </c>
      <c r="H34" s="94">
        <v>1.1</v>
      </c>
      <c r="I34" s="93">
        <v>2319.88</v>
      </c>
      <c r="J34" s="94">
        <v>1.1</v>
      </c>
      <c r="K34" s="93">
        <v>2319.88</v>
      </c>
      <c r="L34" s="48">
        <f t="shared" si="6"/>
        <v>0.00047416245667879377</v>
      </c>
      <c r="M34" s="45">
        <v>256</v>
      </c>
      <c r="N34" s="45">
        <f t="shared" si="7"/>
        <v>0.1213855889097712</v>
      </c>
      <c r="O34" s="45">
        <f t="shared" si="4"/>
        <v>28.449747400727624</v>
      </c>
      <c r="P34" s="45">
        <f t="shared" si="5"/>
        <v>7.283135334586271</v>
      </c>
      <c r="R34" s="10"/>
      <c r="S34" s="10"/>
    </row>
    <row r="35" spans="1:26" s="14" customFormat="1" ht="12.75">
      <c r="A35" s="183"/>
      <c r="B35" s="73" t="s">
        <v>179</v>
      </c>
      <c r="C35" s="33">
        <v>45</v>
      </c>
      <c r="D35" s="33">
        <v>1979</v>
      </c>
      <c r="E35" s="74">
        <v>12.918</v>
      </c>
      <c r="F35" s="74">
        <v>4.578</v>
      </c>
      <c r="G35" s="74">
        <v>7.2</v>
      </c>
      <c r="H35" s="74">
        <v>1.14</v>
      </c>
      <c r="I35" s="75">
        <v>2321.07</v>
      </c>
      <c r="J35" s="74">
        <v>1.14</v>
      </c>
      <c r="K35" s="75">
        <v>2321.07</v>
      </c>
      <c r="L35" s="48">
        <f t="shared" si="6"/>
        <v>0.0004911527872920678</v>
      </c>
      <c r="M35" s="45">
        <v>267.81</v>
      </c>
      <c r="N35" s="45">
        <f t="shared" si="7"/>
        <v>0.13153562796468868</v>
      </c>
      <c r="O35" s="45">
        <f t="shared" si="4"/>
        <v>29.46916723752407</v>
      </c>
      <c r="P35" s="45">
        <f t="shared" si="5"/>
        <v>7.892137677881321</v>
      </c>
      <c r="Q35" s="9"/>
      <c r="R35" s="10"/>
      <c r="S35" s="10"/>
      <c r="T35" s="9"/>
      <c r="U35" s="9"/>
      <c r="V35" s="9"/>
      <c r="W35" s="9"/>
      <c r="X35" s="9"/>
      <c r="Y35" s="9"/>
      <c r="Z35" s="9"/>
    </row>
    <row r="36" spans="1:26" s="9" customFormat="1" ht="12.75">
      <c r="A36" s="183"/>
      <c r="B36" s="73" t="s">
        <v>116</v>
      </c>
      <c r="C36" s="33">
        <v>40</v>
      </c>
      <c r="D36" s="33">
        <v>2004</v>
      </c>
      <c r="E36" s="74">
        <v>7.904</v>
      </c>
      <c r="F36" s="74">
        <v>6.018</v>
      </c>
      <c r="G36" s="74">
        <v>0.296</v>
      </c>
      <c r="H36" s="74">
        <f>E36-F36-G36</f>
        <v>1.59</v>
      </c>
      <c r="I36" s="75">
        <v>3180.7</v>
      </c>
      <c r="J36" s="74">
        <f>H36</f>
        <v>1.59</v>
      </c>
      <c r="K36" s="75">
        <f>I36</f>
        <v>3180.7</v>
      </c>
      <c r="L36" s="48">
        <f t="shared" si="6"/>
        <v>0.0004998899613292672</v>
      </c>
      <c r="M36" s="45">
        <v>288.2</v>
      </c>
      <c r="N36" s="45">
        <f t="shared" si="7"/>
        <v>0.1440682868550948</v>
      </c>
      <c r="O36" s="45">
        <f t="shared" si="4"/>
        <v>29.99339767975603</v>
      </c>
      <c r="P36" s="45">
        <f t="shared" si="5"/>
        <v>8.644097211305686</v>
      </c>
      <c r="R36" s="10"/>
      <c r="S36" s="10"/>
      <c r="Z36" s="14"/>
    </row>
    <row r="37" spans="1:26" s="14" customFormat="1" ht="12.75" customHeight="1">
      <c r="A37" s="183"/>
      <c r="B37" s="73" t="s">
        <v>494</v>
      </c>
      <c r="C37" s="75">
        <v>75</v>
      </c>
      <c r="D37" s="33" t="s">
        <v>31</v>
      </c>
      <c r="E37" s="74">
        <f>F37+G37+H37</f>
        <v>22.365903000000003</v>
      </c>
      <c r="F37" s="74">
        <v>8.057</v>
      </c>
      <c r="G37" s="74">
        <v>12</v>
      </c>
      <c r="H37" s="74">
        <v>2.308903</v>
      </c>
      <c r="I37" s="75">
        <v>4062.96</v>
      </c>
      <c r="J37" s="74">
        <v>2.308903</v>
      </c>
      <c r="K37" s="75">
        <v>4062.96</v>
      </c>
      <c r="L37" s="48">
        <f t="shared" si="6"/>
        <v>0.0005682810069505976</v>
      </c>
      <c r="M37" s="45">
        <v>221.4</v>
      </c>
      <c r="N37" s="45">
        <f t="shared" si="7"/>
        <v>0.1258174149388623</v>
      </c>
      <c r="O37" s="45">
        <f t="shared" si="4"/>
        <v>34.096860417035856</v>
      </c>
      <c r="P37" s="45">
        <f t="shared" si="5"/>
        <v>7.549044896331739</v>
      </c>
      <c r="Q37" s="9"/>
      <c r="R37" s="10"/>
      <c r="S37" s="10"/>
      <c r="T37" s="9"/>
      <c r="U37" s="9"/>
      <c r="V37" s="9"/>
      <c r="W37" s="9"/>
      <c r="X37" s="9"/>
      <c r="Y37" s="9"/>
      <c r="Z37" s="9"/>
    </row>
    <row r="38" spans="1:25" s="14" customFormat="1" ht="12.75">
      <c r="A38" s="183"/>
      <c r="B38" s="121" t="s">
        <v>286</v>
      </c>
      <c r="C38" s="59">
        <v>61</v>
      </c>
      <c r="D38" s="59">
        <v>1971</v>
      </c>
      <c r="E38" s="56">
        <v>18.581601</v>
      </c>
      <c r="F38" s="56">
        <v>7.0125</v>
      </c>
      <c r="G38" s="56">
        <v>9.6</v>
      </c>
      <c r="H38" s="56">
        <v>1.969101</v>
      </c>
      <c r="I38" s="143">
        <v>3427.38</v>
      </c>
      <c r="J38" s="56">
        <v>1.969101</v>
      </c>
      <c r="K38" s="143">
        <v>3427.38</v>
      </c>
      <c r="L38" s="140">
        <v>0.000574</v>
      </c>
      <c r="M38" s="55">
        <v>281.7</v>
      </c>
      <c r="N38" s="141">
        <f>L38*M38*1.09</f>
        <v>0.176248422</v>
      </c>
      <c r="O38" s="141">
        <f t="shared" si="4"/>
        <v>34.44</v>
      </c>
      <c r="P38" s="141">
        <f t="shared" si="5"/>
        <v>9.701748</v>
      </c>
      <c r="Q38" s="9"/>
      <c r="R38" s="10"/>
      <c r="S38" s="10"/>
      <c r="T38" s="9"/>
      <c r="U38" s="9"/>
      <c r="V38" s="9"/>
      <c r="W38" s="9"/>
      <c r="X38" s="9"/>
      <c r="Y38" s="9"/>
    </row>
    <row r="39" spans="1:19" s="9" customFormat="1" ht="12.75">
      <c r="A39" s="183"/>
      <c r="B39" s="92" t="s">
        <v>160</v>
      </c>
      <c r="C39" s="93">
        <v>61</v>
      </c>
      <c r="D39" s="33" t="s">
        <v>31</v>
      </c>
      <c r="E39" s="94">
        <v>17.1</v>
      </c>
      <c r="F39" s="94">
        <v>5.88</v>
      </c>
      <c r="G39" s="94">
        <v>9.6</v>
      </c>
      <c r="H39" s="94">
        <v>1.62</v>
      </c>
      <c r="I39" s="93">
        <v>2733.85</v>
      </c>
      <c r="J39" s="94">
        <v>1.62</v>
      </c>
      <c r="K39" s="93">
        <v>2733.85</v>
      </c>
      <c r="L39" s="48">
        <f>J39/K39</f>
        <v>0.0005925709164731058</v>
      </c>
      <c r="M39" s="45">
        <v>256</v>
      </c>
      <c r="N39" s="45">
        <f>L39*M39</f>
        <v>0.15169815461711508</v>
      </c>
      <c r="O39" s="45">
        <f t="shared" si="4"/>
        <v>35.55425498838635</v>
      </c>
      <c r="P39" s="45">
        <f t="shared" si="5"/>
        <v>9.101889277026904</v>
      </c>
      <c r="Q39" s="11"/>
      <c r="R39" s="10"/>
      <c r="S39" s="10"/>
    </row>
    <row r="40" spans="1:26" s="9" customFormat="1" ht="12.75">
      <c r="A40" s="183"/>
      <c r="B40" s="101" t="s">
        <v>220</v>
      </c>
      <c r="C40" s="102">
        <v>10</v>
      </c>
      <c r="D40" s="33">
        <v>1973</v>
      </c>
      <c r="E40" s="74">
        <f>+F40+G40+H40</f>
        <v>1.5544360000000002</v>
      </c>
      <c r="F40" s="103">
        <v>1.220436</v>
      </c>
      <c r="G40" s="103">
        <v>0</v>
      </c>
      <c r="H40" s="103">
        <v>0.334</v>
      </c>
      <c r="I40" s="104">
        <v>1122.7</v>
      </c>
      <c r="J40" s="103">
        <v>0.334</v>
      </c>
      <c r="K40" s="104">
        <v>552.87</v>
      </c>
      <c r="L40" s="48">
        <f>+J40/K40</f>
        <v>0.0006041203176153526</v>
      </c>
      <c r="M40" s="45">
        <v>312.83</v>
      </c>
      <c r="N40" s="45">
        <f>+L40*M40</f>
        <v>0.18898695895961076</v>
      </c>
      <c r="O40" s="45">
        <f>+L40*60*1000</f>
        <v>36.24721905692116</v>
      </c>
      <c r="P40" s="45">
        <f>+N40*60</f>
        <v>11.339217537576646</v>
      </c>
      <c r="Q40" s="10"/>
      <c r="R40" s="10"/>
      <c r="S40" s="10"/>
      <c r="T40" s="12"/>
      <c r="U40" s="13"/>
      <c r="V40" s="13"/>
      <c r="Z40" s="14"/>
    </row>
    <row r="41" spans="1:26" s="9" customFormat="1" ht="12.75">
      <c r="A41" s="183"/>
      <c r="B41" s="73" t="s">
        <v>180</v>
      </c>
      <c r="C41" s="33">
        <v>45</v>
      </c>
      <c r="D41" s="33">
        <v>1973</v>
      </c>
      <c r="E41" s="74">
        <v>12.579</v>
      </c>
      <c r="F41" s="74">
        <v>3.96</v>
      </c>
      <c r="G41" s="74">
        <v>7.2</v>
      </c>
      <c r="H41" s="74">
        <v>1.419</v>
      </c>
      <c r="I41" s="75">
        <v>2317.74</v>
      </c>
      <c r="J41" s="74">
        <v>1.419</v>
      </c>
      <c r="K41" s="75">
        <v>2317.74</v>
      </c>
      <c r="L41" s="48">
        <f>J41/K41</f>
        <v>0.0006122343317196925</v>
      </c>
      <c r="M41" s="45">
        <v>267.81</v>
      </c>
      <c r="N41" s="45">
        <f>L41*M41</f>
        <v>0.16396247637785086</v>
      </c>
      <c r="O41" s="45">
        <f>L41*60*1000</f>
        <v>36.73405990318155</v>
      </c>
      <c r="P41" s="45">
        <f>O41*M41/1000</f>
        <v>9.837748582671052</v>
      </c>
      <c r="R41" s="10"/>
      <c r="S41" s="10"/>
      <c r="Z41" s="14"/>
    </row>
    <row r="42" spans="1:16" s="9" customFormat="1" ht="12.75" customHeight="1">
      <c r="A42" s="183"/>
      <c r="B42" s="101" t="s">
        <v>221</v>
      </c>
      <c r="C42" s="102">
        <v>21</v>
      </c>
      <c r="D42" s="33">
        <v>1972</v>
      </c>
      <c r="E42" s="74">
        <f>+F42+G42+H42</f>
        <v>5.8280009999999995</v>
      </c>
      <c r="F42" s="103">
        <v>2.3973679999999997</v>
      </c>
      <c r="G42" s="103">
        <v>2.64</v>
      </c>
      <c r="H42" s="103">
        <v>0.790633</v>
      </c>
      <c r="I42" s="104">
        <v>1105.27</v>
      </c>
      <c r="J42" s="103">
        <v>0.790633</v>
      </c>
      <c r="K42" s="104">
        <v>1105.27</v>
      </c>
      <c r="L42" s="48">
        <f>+J42/K42</f>
        <v>0.0007153301908131045</v>
      </c>
      <c r="M42" s="45">
        <v>312.83</v>
      </c>
      <c r="N42" s="45">
        <f>+L42*M42</f>
        <v>0.22377674359206345</v>
      </c>
      <c r="O42" s="45">
        <f>+L42*60*1000</f>
        <v>42.91981144878627</v>
      </c>
      <c r="P42" s="45">
        <f>+N42*60</f>
        <v>13.426604615523807</v>
      </c>
    </row>
    <row r="43" spans="1:22" s="9" customFormat="1" ht="12.75">
      <c r="A43" s="183"/>
      <c r="B43" s="121" t="s">
        <v>344</v>
      </c>
      <c r="C43" s="59">
        <v>44</v>
      </c>
      <c r="D43" s="59">
        <v>1975</v>
      </c>
      <c r="E43" s="56">
        <f>F43+G43+H43</f>
        <v>12</v>
      </c>
      <c r="F43" s="56">
        <v>3.2</v>
      </c>
      <c r="G43" s="56">
        <v>7.04</v>
      </c>
      <c r="H43" s="56">
        <v>1.76</v>
      </c>
      <c r="I43" s="143">
        <v>2309.11</v>
      </c>
      <c r="J43" s="56">
        <v>1.76</v>
      </c>
      <c r="K43" s="143">
        <v>2309.11</v>
      </c>
      <c r="L43" s="142">
        <f>J43/K43</f>
        <v>0.0007621984227689456</v>
      </c>
      <c r="M43" s="55">
        <v>320.7</v>
      </c>
      <c r="N43" s="141">
        <f>L43*M43</f>
        <v>0.24443703418200083</v>
      </c>
      <c r="O43" s="141">
        <f>L43*60*1000</f>
        <v>45.731905366136736</v>
      </c>
      <c r="P43" s="141">
        <f>O43*M43/1000</f>
        <v>14.66622205092005</v>
      </c>
      <c r="Q43" s="10"/>
      <c r="R43" s="10"/>
      <c r="S43" s="10"/>
      <c r="T43" s="12"/>
      <c r="U43" s="13"/>
      <c r="V43" s="13"/>
    </row>
    <row r="44" spans="1:19" s="9" customFormat="1" ht="12.75">
      <c r="A44" s="183"/>
      <c r="B44" s="73" t="s">
        <v>34</v>
      </c>
      <c r="C44" s="33">
        <v>116</v>
      </c>
      <c r="D44" s="33">
        <v>2007</v>
      </c>
      <c r="E44" s="74">
        <v>30.828</v>
      </c>
      <c r="F44" s="74">
        <v>17.934488</v>
      </c>
      <c r="G44" s="74">
        <v>7.509512</v>
      </c>
      <c r="H44" s="74">
        <v>5.384</v>
      </c>
      <c r="I44" s="75">
        <v>7057.15</v>
      </c>
      <c r="J44" s="74">
        <f>H44</f>
        <v>5.384</v>
      </c>
      <c r="K44" s="75">
        <v>7057.15</v>
      </c>
      <c r="L44" s="48">
        <f>J44/K44</f>
        <v>0.000762914207576713</v>
      </c>
      <c r="M44" s="45">
        <v>306.181</v>
      </c>
      <c r="N44" s="45">
        <f>L44*M44</f>
        <v>0.23358983499004557</v>
      </c>
      <c r="O44" s="45">
        <f>L44*60*1000</f>
        <v>45.77485245460279</v>
      </c>
      <c r="P44" s="45">
        <f>N44*60</f>
        <v>14.015390099402735</v>
      </c>
      <c r="Q44" s="11"/>
      <c r="R44" s="10"/>
      <c r="S44" s="10"/>
    </row>
    <row r="45" spans="1:26" s="14" customFormat="1" ht="12.75" customHeight="1">
      <c r="A45" s="183"/>
      <c r="B45" s="73" t="s">
        <v>117</v>
      </c>
      <c r="C45" s="33">
        <v>60</v>
      </c>
      <c r="D45" s="33">
        <v>1970</v>
      </c>
      <c r="E45" s="74">
        <v>13.7</v>
      </c>
      <c r="F45" s="74">
        <v>5.255</v>
      </c>
      <c r="G45" s="74">
        <v>5.97</v>
      </c>
      <c r="H45" s="74">
        <f>E45-F45-G45</f>
        <v>2.4750000000000005</v>
      </c>
      <c r="I45" s="75">
        <v>3171</v>
      </c>
      <c r="J45" s="74">
        <f>H45</f>
        <v>2.4750000000000005</v>
      </c>
      <c r="K45" s="75">
        <f>I45</f>
        <v>3171</v>
      </c>
      <c r="L45" s="48">
        <f>J45/K45</f>
        <v>0.0007805108798486284</v>
      </c>
      <c r="M45" s="45">
        <v>288.2</v>
      </c>
      <c r="N45" s="45">
        <f>L45*M45</f>
        <v>0.2249432355723747</v>
      </c>
      <c r="O45" s="45">
        <f>L45*60*1000</f>
        <v>46.8306527909177</v>
      </c>
      <c r="P45" s="45">
        <f>O45*M45/1000</f>
        <v>13.496594134342482</v>
      </c>
      <c r="Q45" s="9"/>
      <c r="R45" s="10"/>
      <c r="S45" s="10"/>
      <c r="T45" s="9"/>
      <c r="U45" s="9"/>
      <c r="V45" s="9"/>
      <c r="W45" s="9"/>
      <c r="X45" s="9"/>
      <c r="Y45" s="9"/>
      <c r="Z45" s="9"/>
    </row>
    <row r="46" spans="1:26" s="14" customFormat="1" ht="12.75" customHeight="1">
      <c r="A46" s="183"/>
      <c r="B46" s="73" t="s">
        <v>181</v>
      </c>
      <c r="C46" s="33">
        <v>22</v>
      </c>
      <c r="D46" s="33">
        <v>1989</v>
      </c>
      <c r="E46" s="74">
        <v>7.23</v>
      </c>
      <c r="F46" s="74">
        <v>2.716</v>
      </c>
      <c r="G46" s="74">
        <v>3.52</v>
      </c>
      <c r="H46" s="74">
        <v>0.994</v>
      </c>
      <c r="I46" s="75">
        <v>1188.82</v>
      </c>
      <c r="J46" s="74">
        <v>0.994</v>
      </c>
      <c r="K46" s="75">
        <v>1188.82</v>
      </c>
      <c r="L46" s="48">
        <f>J46/K46</f>
        <v>0.000836123214616174</v>
      </c>
      <c r="M46" s="45">
        <v>267.81</v>
      </c>
      <c r="N46" s="45">
        <f>L46*M46</f>
        <v>0.22392215810635757</v>
      </c>
      <c r="O46" s="45">
        <f>L46*60*1000</f>
        <v>50.167392876970446</v>
      </c>
      <c r="P46" s="45">
        <f>O46*M46/1000</f>
        <v>13.435329486381455</v>
      </c>
      <c r="Q46" s="10"/>
      <c r="R46" s="10"/>
      <c r="S46" s="10"/>
      <c r="T46" s="12"/>
      <c r="U46" s="13"/>
      <c r="V46" s="13"/>
      <c r="W46" s="9"/>
      <c r="X46" s="9"/>
      <c r="Y46" s="9"/>
      <c r="Z46" s="9"/>
    </row>
    <row r="47" spans="1:19" s="9" customFormat="1" ht="12.75">
      <c r="A47" s="183"/>
      <c r="B47" s="73" t="s">
        <v>35</v>
      </c>
      <c r="C47" s="33">
        <v>64</v>
      </c>
      <c r="D47" s="33">
        <v>2006</v>
      </c>
      <c r="E47" s="74">
        <v>19.78</v>
      </c>
      <c r="F47" s="74">
        <v>11.860381</v>
      </c>
      <c r="G47" s="74">
        <v>5.12</v>
      </c>
      <c r="H47" s="74">
        <v>2.799618</v>
      </c>
      <c r="I47" s="75">
        <v>3331.76</v>
      </c>
      <c r="J47" s="74">
        <f>H47</f>
        <v>2.799618</v>
      </c>
      <c r="K47" s="75">
        <v>3331.76</v>
      </c>
      <c r="L47" s="48">
        <f>J47/K47</f>
        <v>0.000840282013110188</v>
      </c>
      <c r="M47" s="45">
        <v>307.38</v>
      </c>
      <c r="N47" s="45">
        <f>L47*M47</f>
        <v>0.2582858851898096</v>
      </c>
      <c r="O47" s="45">
        <f>L47*60*1000</f>
        <v>50.41692078661128</v>
      </c>
      <c r="P47" s="45">
        <f>N47*60</f>
        <v>15.497153111388576</v>
      </c>
      <c r="R47" s="10"/>
      <c r="S47" s="10"/>
    </row>
    <row r="48" spans="1:19" s="9" customFormat="1" ht="13.5" customHeight="1">
      <c r="A48" s="183"/>
      <c r="B48" s="101" t="s">
        <v>222</v>
      </c>
      <c r="C48" s="102">
        <v>111</v>
      </c>
      <c r="D48" s="33">
        <v>2009</v>
      </c>
      <c r="E48" s="129">
        <f>+F48+G48+H48</f>
        <v>35.237608</v>
      </c>
      <c r="F48" s="103">
        <v>12.597000000000001</v>
      </c>
      <c r="G48" s="103">
        <v>17.76</v>
      </c>
      <c r="H48" s="103">
        <v>4.880608</v>
      </c>
      <c r="I48" s="104">
        <v>5858.8</v>
      </c>
      <c r="J48" s="103">
        <v>4.880608</v>
      </c>
      <c r="K48" s="104">
        <v>5795.400000000001</v>
      </c>
      <c r="L48" s="48">
        <f>+J48/K48</f>
        <v>0.0008421520516271524</v>
      </c>
      <c r="M48" s="45">
        <v>312.83</v>
      </c>
      <c r="N48" s="45">
        <f>+L48*M48</f>
        <v>0.26345042631052207</v>
      </c>
      <c r="O48" s="45">
        <f>+L48*60*1000</f>
        <v>50.529123097629146</v>
      </c>
      <c r="P48" s="45">
        <f>+N48*60</f>
        <v>15.807025578631324</v>
      </c>
      <c r="R48" s="10"/>
      <c r="S48" s="10"/>
    </row>
    <row r="49" spans="1:26" s="9" customFormat="1" ht="12.75" customHeight="1">
      <c r="A49" s="183"/>
      <c r="B49" s="73" t="s">
        <v>73</v>
      </c>
      <c r="C49" s="33">
        <v>118</v>
      </c>
      <c r="D49" s="33">
        <v>2007</v>
      </c>
      <c r="E49" s="74">
        <v>43.68</v>
      </c>
      <c r="F49" s="74">
        <v>18.87</v>
      </c>
      <c r="G49" s="74">
        <v>18.2</v>
      </c>
      <c r="H49" s="74">
        <f>E49-F49-G49</f>
        <v>6.609999999999999</v>
      </c>
      <c r="I49" s="75">
        <v>7738</v>
      </c>
      <c r="J49" s="74">
        <f>H49/I49*K49</f>
        <v>5.965059446885499</v>
      </c>
      <c r="K49" s="33">
        <v>6983</v>
      </c>
      <c r="L49" s="48">
        <f>J49/K49</f>
        <v>0.0008542258981649004</v>
      </c>
      <c r="M49" s="45">
        <v>332.56</v>
      </c>
      <c r="N49" s="45">
        <f>L49*M49</f>
        <v>0.2840813646937193</v>
      </c>
      <c r="O49" s="45">
        <f>L49*60*1000</f>
        <v>51.25355388989403</v>
      </c>
      <c r="P49" s="45">
        <f>O49*M49/1000</f>
        <v>17.04488188162316</v>
      </c>
      <c r="R49" s="10"/>
      <c r="S49" s="10"/>
      <c r="Z49" s="14"/>
    </row>
    <row r="50" spans="1:19" s="9" customFormat="1" ht="12.75">
      <c r="A50" s="183"/>
      <c r="B50" s="121" t="s">
        <v>287</v>
      </c>
      <c r="C50" s="59">
        <v>25</v>
      </c>
      <c r="D50" s="59">
        <v>1976</v>
      </c>
      <c r="E50" s="56">
        <v>7.782998</v>
      </c>
      <c r="F50" s="56">
        <v>2.56989</v>
      </c>
      <c r="G50" s="56">
        <v>4</v>
      </c>
      <c r="H50" s="56">
        <v>1.213108</v>
      </c>
      <c r="I50" s="143">
        <v>1309.93</v>
      </c>
      <c r="J50" s="56">
        <v>1.167054</v>
      </c>
      <c r="K50" s="143">
        <v>1260.2</v>
      </c>
      <c r="L50" s="140">
        <v>0.000926</v>
      </c>
      <c r="M50" s="55">
        <v>281.7</v>
      </c>
      <c r="N50" s="141">
        <f>L50*M50*1.09</f>
        <v>0.284331078</v>
      </c>
      <c r="O50" s="141">
        <f>L50*60*1000</f>
        <v>55.559999999999995</v>
      </c>
      <c r="P50" s="141">
        <f>O50*M50/1000</f>
        <v>15.651251999999998</v>
      </c>
      <c r="R50" s="10"/>
      <c r="S50" s="10"/>
    </row>
    <row r="51" spans="1:19" s="9" customFormat="1" ht="12.75">
      <c r="A51" s="183"/>
      <c r="B51" s="101" t="s">
        <v>223</v>
      </c>
      <c r="C51" s="102">
        <v>122</v>
      </c>
      <c r="D51" s="33">
        <v>1971</v>
      </c>
      <c r="E51" s="74">
        <f>+F51+G51+H51</f>
        <v>5.69119</v>
      </c>
      <c r="F51" s="103">
        <v>2.612387</v>
      </c>
      <c r="G51" s="103">
        <v>0</v>
      </c>
      <c r="H51" s="103">
        <v>3.0788029999999997</v>
      </c>
      <c r="I51" s="104">
        <v>3582.41</v>
      </c>
      <c r="J51" s="103">
        <v>3.0788029999999997</v>
      </c>
      <c r="K51" s="104">
        <v>3313.86</v>
      </c>
      <c r="L51" s="48">
        <f>+J51/K51</f>
        <v>0.0009290685182838139</v>
      </c>
      <c r="M51" s="45">
        <v>312.83</v>
      </c>
      <c r="N51" s="45">
        <f>+L51*M51</f>
        <v>0.29064050457472546</v>
      </c>
      <c r="O51" s="45">
        <f>+L51*60*1000</f>
        <v>55.744111097028835</v>
      </c>
      <c r="P51" s="45">
        <f>+N51*60</f>
        <v>17.438430274483526</v>
      </c>
      <c r="R51" s="10"/>
      <c r="S51" s="10"/>
    </row>
    <row r="52" spans="1:19" s="9" customFormat="1" ht="12.75">
      <c r="A52" s="183"/>
      <c r="B52" s="73" t="s">
        <v>36</v>
      </c>
      <c r="C52" s="33">
        <v>58</v>
      </c>
      <c r="D52" s="33">
        <v>2007</v>
      </c>
      <c r="E52" s="74">
        <v>17.908</v>
      </c>
      <c r="F52" s="74">
        <v>9.713154</v>
      </c>
      <c r="G52" s="74">
        <v>4.64</v>
      </c>
      <c r="H52" s="74">
        <v>3.554845</v>
      </c>
      <c r="I52" s="75">
        <v>3797.15</v>
      </c>
      <c r="J52" s="74">
        <f>H52</f>
        <v>3.554845</v>
      </c>
      <c r="K52" s="75">
        <v>3797.15</v>
      </c>
      <c r="L52" s="48">
        <f aca="true" t="shared" si="8" ref="L52:L57">J52/K52</f>
        <v>0.000936187667066089</v>
      </c>
      <c r="M52" s="45">
        <v>307.38</v>
      </c>
      <c r="N52" s="45">
        <f aca="true" t="shared" si="9" ref="N52:N57">L52*M52</f>
        <v>0.28776536510277445</v>
      </c>
      <c r="O52" s="45">
        <f>L52*60*1000</f>
        <v>56.17126002396534</v>
      </c>
      <c r="P52" s="45">
        <f>N52*60</f>
        <v>17.26592190616647</v>
      </c>
      <c r="R52" s="10"/>
      <c r="S52" s="10"/>
    </row>
    <row r="53" spans="1:19" s="9" customFormat="1" ht="12.75">
      <c r="A53" s="183"/>
      <c r="B53" s="73" t="s">
        <v>573</v>
      </c>
      <c r="C53" s="33">
        <v>24</v>
      </c>
      <c r="D53" s="33">
        <v>1991</v>
      </c>
      <c r="E53" s="74">
        <v>7.02</v>
      </c>
      <c r="F53" s="74">
        <v>2.0795</v>
      </c>
      <c r="G53" s="74">
        <v>3.84</v>
      </c>
      <c r="H53" s="74">
        <f>E53-F53-G53</f>
        <v>1.1005000000000003</v>
      </c>
      <c r="I53" s="75">
        <v>1163.97</v>
      </c>
      <c r="J53" s="74">
        <v>1.1005</v>
      </c>
      <c r="K53" s="75">
        <v>1163.97</v>
      </c>
      <c r="L53" s="48">
        <f t="shared" si="8"/>
        <v>0.0009454711032071273</v>
      </c>
      <c r="M53" s="45">
        <v>243.179</v>
      </c>
      <c r="N53" s="45">
        <f t="shared" si="9"/>
        <v>0.22991871740680603</v>
      </c>
      <c r="O53" s="45">
        <f>L53*1000*60</f>
        <v>56.72826619242764</v>
      </c>
      <c r="P53" s="45">
        <f>N53*60</f>
        <v>13.795123044408362</v>
      </c>
      <c r="R53" s="10"/>
      <c r="S53" s="10"/>
    </row>
    <row r="54" spans="1:19" s="9" customFormat="1" ht="12.75" customHeight="1">
      <c r="A54" s="183"/>
      <c r="B54" s="73" t="s">
        <v>74</v>
      </c>
      <c r="C54" s="33">
        <v>64</v>
      </c>
      <c r="D54" s="33" t="s">
        <v>31</v>
      </c>
      <c r="E54" s="74">
        <v>18.4</v>
      </c>
      <c r="F54" s="74">
        <v>7.23</v>
      </c>
      <c r="G54" s="74">
        <v>8.88</v>
      </c>
      <c r="H54" s="74">
        <v>2.29</v>
      </c>
      <c r="I54" s="75">
        <v>2419.35</v>
      </c>
      <c r="J54" s="74">
        <f>H54/I54*K54</f>
        <v>2.2603261206522416</v>
      </c>
      <c r="K54" s="33">
        <v>2388</v>
      </c>
      <c r="L54" s="48">
        <f t="shared" si="8"/>
        <v>0.0009465352264037862</v>
      </c>
      <c r="M54" s="45">
        <v>332.56</v>
      </c>
      <c r="N54" s="45">
        <f t="shared" si="9"/>
        <v>0.31477975489284316</v>
      </c>
      <c r="O54" s="45">
        <f aca="true" t="shared" si="10" ref="O54:O59">L54*60*1000</f>
        <v>56.792113584227174</v>
      </c>
      <c r="P54" s="45">
        <f aca="true" t="shared" si="11" ref="P54:P59">O54*M54/1000</f>
        <v>18.88678529357059</v>
      </c>
      <c r="R54" s="10"/>
      <c r="S54" s="10"/>
    </row>
    <row r="55" spans="1:19" s="9" customFormat="1" ht="12.75" customHeight="1">
      <c r="A55" s="183"/>
      <c r="B55" s="73" t="s">
        <v>495</v>
      </c>
      <c r="C55" s="75">
        <v>45</v>
      </c>
      <c r="D55" s="33" t="s">
        <v>31</v>
      </c>
      <c r="E55" s="74">
        <f>F55+G55+H55</f>
        <v>12.927762</v>
      </c>
      <c r="F55" s="74">
        <v>3.519</v>
      </c>
      <c r="G55" s="74">
        <v>7.1613</v>
      </c>
      <c r="H55" s="74">
        <v>2.247462</v>
      </c>
      <c r="I55" s="75">
        <v>2343.93</v>
      </c>
      <c r="J55" s="74">
        <v>2.247467</v>
      </c>
      <c r="K55" s="75">
        <v>2343.93</v>
      </c>
      <c r="L55" s="48">
        <f t="shared" si="8"/>
        <v>0.000958845613990179</v>
      </c>
      <c r="M55" s="45">
        <v>221.4</v>
      </c>
      <c r="N55" s="45">
        <f t="shared" si="9"/>
        <v>0.21228841893742562</v>
      </c>
      <c r="O55" s="45">
        <f t="shared" si="10"/>
        <v>57.530736839410736</v>
      </c>
      <c r="P55" s="45">
        <f t="shared" si="11"/>
        <v>12.737305136245537</v>
      </c>
      <c r="R55" s="10"/>
      <c r="S55" s="10"/>
    </row>
    <row r="56" spans="1:19" s="9" customFormat="1" ht="12.75">
      <c r="A56" s="183"/>
      <c r="B56" s="92" t="s">
        <v>161</v>
      </c>
      <c r="C56" s="93">
        <v>40</v>
      </c>
      <c r="D56" s="33" t="s">
        <v>31</v>
      </c>
      <c r="E56" s="94">
        <v>15.013</v>
      </c>
      <c r="F56" s="94">
        <v>6.21</v>
      </c>
      <c r="G56" s="94">
        <v>6.4</v>
      </c>
      <c r="H56" s="94">
        <v>2.4</v>
      </c>
      <c r="I56" s="93">
        <v>2494.75</v>
      </c>
      <c r="J56" s="94">
        <v>2.4</v>
      </c>
      <c r="K56" s="93">
        <v>2494.75</v>
      </c>
      <c r="L56" s="48">
        <f t="shared" si="8"/>
        <v>0.0009620202425092695</v>
      </c>
      <c r="M56" s="45">
        <v>256</v>
      </c>
      <c r="N56" s="45">
        <f t="shared" si="9"/>
        <v>0.24627718208237298</v>
      </c>
      <c r="O56" s="45">
        <f t="shared" si="10"/>
        <v>57.72121455055617</v>
      </c>
      <c r="P56" s="45">
        <f t="shared" si="11"/>
        <v>14.77663092494238</v>
      </c>
      <c r="Q56" s="11"/>
      <c r="R56" s="10"/>
      <c r="S56" s="10"/>
    </row>
    <row r="57" spans="1:19" s="9" customFormat="1" ht="12.75" customHeight="1">
      <c r="A57" s="183"/>
      <c r="B57" s="73" t="s">
        <v>766</v>
      </c>
      <c r="C57" s="33"/>
      <c r="D57" s="33" t="s">
        <v>534</v>
      </c>
      <c r="E57" s="74">
        <f>+F57+G57+H57</f>
        <v>12.1013</v>
      </c>
      <c r="F57" s="74">
        <v>3.718</v>
      </c>
      <c r="G57" s="74">
        <v>6.17</v>
      </c>
      <c r="H57" s="74">
        <v>2.2133</v>
      </c>
      <c r="I57" s="75">
        <v>2233.8</v>
      </c>
      <c r="J57" s="74">
        <v>2.2133</v>
      </c>
      <c r="K57" s="75">
        <v>2233.8</v>
      </c>
      <c r="L57" s="48">
        <f t="shared" si="8"/>
        <v>0.000990822813143522</v>
      </c>
      <c r="M57" s="45">
        <v>276.9</v>
      </c>
      <c r="N57" s="45">
        <f t="shared" si="9"/>
        <v>0.27435883695944124</v>
      </c>
      <c r="O57" s="45">
        <f t="shared" si="10"/>
        <v>59.449368788611324</v>
      </c>
      <c r="P57" s="45">
        <f t="shared" si="11"/>
        <v>16.461530217566473</v>
      </c>
      <c r="Q57" s="11"/>
      <c r="R57" s="10"/>
      <c r="S57" s="10"/>
    </row>
    <row r="58" spans="1:19" s="9" customFormat="1" ht="12.75" customHeight="1">
      <c r="A58" s="183"/>
      <c r="B58" s="121" t="s">
        <v>288</v>
      </c>
      <c r="C58" s="59">
        <v>55</v>
      </c>
      <c r="D58" s="59">
        <v>1993</v>
      </c>
      <c r="E58" s="56">
        <v>20.018011</v>
      </c>
      <c r="F58" s="56">
        <v>7.854</v>
      </c>
      <c r="G58" s="56">
        <v>8.64</v>
      </c>
      <c r="H58" s="56">
        <v>3.524011</v>
      </c>
      <c r="I58" s="143">
        <v>3524.86</v>
      </c>
      <c r="J58" s="56">
        <v>3.524011</v>
      </c>
      <c r="K58" s="143">
        <v>3524.86</v>
      </c>
      <c r="L58" s="140">
        <v>0.000999</v>
      </c>
      <c r="M58" s="55">
        <v>281.7</v>
      </c>
      <c r="N58" s="141">
        <f>L58*M58*1.09</f>
        <v>0.306745947</v>
      </c>
      <c r="O58" s="141">
        <f t="shared" si="10"/>
        <v>59.940000000000005</v>
      </c>
      <c r="P58" s="141">
        <f t="shared" si="11"/>
        <v>16.885098000000003</v>
      </c>
      <c r="R58" s="10"/>
      <c r="S58" s="10"/>
    </row>
    <row r="59" spans="1:19" s="9" customFormat="1" ht="12.75">
      <c r="A59" s="183"/>
      <c r="B59" s="73" t="s">
        <v>736</v>
      </c>
      <c r="C59" s="33">
        <v>75</v>
      </c>
      <c r="D59" s="33" t="s">
        <v>31</v>
      </c>
      <c r="E59" s="74">
        <f>F59+G59+H59</f>
        <v>24.089</v>
      </c>
      <c r="F59" s="74">
        <v>8.837</v>
      </c>
      <c r="G59" s="74">
        <v>11.84</v>
      </c>
      <c r="H59" s="74">
        <v>3.412</v>
      </c>
      <c r="I59" s="75">
        <v>3389.63</v>
      </c>
      <c r="J59" s="74">
        <v>3.412</v>
      </c>
      <c r="K59" s="75">
        <v>3389.63</v>
      </c>
      <c r="L59" s="48">
        <f>J59/K59</f>
        <v>0.0010065995403628124</v>
      </c>
      <c r="M59" s="45">
        <v>361.99</v>
      </c>
      <c r="N59" s="45">
        <f>L59*M59</f>
        <v>0.36437896761593447</v>
      </c>
      <c r="O59" s="45">
        <f t="shared" si="10"/>
        <v>60.39597242176875</v>
      </c>
      <c r="P59" s="45">
        <f t="shared" si="11"/>
        <v>21.86273805695607</v>
      </c>
      <c r="R59" s="10"/>
      <c r="S59" s="10"/>
    </row>
    <row r="60" spans="1:19" s="9" customFormat="1" ht="12.75">
      <c r="A60" s="183"/>
      <c r="B60" s="101" t="s">
        <v>224</v>
      </c>
      <c r="C60" s="102">
        <v>20</v>
      </c>
      <c r="D60" s="33">
        <v>1970</v>
      </c>
      <c r="E60" s="74">
        <f>+F60+G60+H60</f>
        <v>8.352</v>
      </c>
      <c r="F60" s="103">
        <v>3.5700000000000003</v>
      </c>
      <c r="G60" s="103">
        <v>3.04</v>
      </c>
      <c r="H60" s="103">
        <v>1.742</v>
      </c>
      <c r="I60" s="104">
        <v>1720.29</v>
      </c>
      <c r="J60" s="103">
        <v>1.742</v>
      </c>
      <c r="K60" s="104">
        <v>1720.29</v>
      </c>
      <c r="L60" s="48">
        <f>+J60/K60</f>
        <v>0.0010126199652384191</v>
      </c>
      <c r="M60" s="45">
        <v>312.83</v>
      </c>
      <c r="N60" s="45">
        <f>+L60*M60</f>
        <v>0.31677790372553466</v>
      </c>
      <c r="O60" s="45">
        <f>+L60*60*1000</f>
        <v>60.757197914305145</v>
      </c>
      <c r="P60" s="45">
        <f>+N60*60</f>
        <v>19.00667422353208</v>
      </c>
      <c r="Q60" s="11"/>
      <c r="R60" s="10"/>
      <c r="S60" s="10"/>
    </row>
    <row r="61" spans="1:19" s="9" customFormat="1" ht="12.75">
      <c r="A61" s="183"/>
      <c r="B61" s="73" t="s">
        <v>118</v>
      </c>
      <c r="C61" s="33">
        <v>80</v>
      </c>
      <c r="D61" s="33">
        <v>2007</v>
      </c>
      <c r="E61" s="74">
        <v>14.397</v>
      </c>
      <c r="F61" s="74">
        <v>8.818</v>
      </c>
      <c r="G61" s="74"/>
      <c r="H61" s="74">
        <f>E61-F61-G61</f>
        <v>5.579000000000001</v>
      </c>
      <c r="I61" s="75">
        <v>5493.23</v>
      </c>
      <c r="J61" s="74">
        <f>H61</f>
        <v>5.579000000000001</v>
      </c>
      <c r="K61" s="75">
        <f>I61</f>
        <v>5493.23</v>
      </c>
      <c r="L61" s="48">
        <f>J61/K61</f>
        <v>0.0010156137645793096</v>
      </c>
      <c r="M61" s="45">
        <v>288.2</v>
      </c>
      <c r="N61" s="45">
        <f>L61*M61</f>
        <v>0.292699886951757</v>
      </c>
      <c r="O61" s="45">
        <f>L61*60*1000</f>
        <v>60.936825874758576</v>
      </c>
      <c r="P61" s="45">
        <f>O61*M61/1000</f>
        <v>17.56199321710542</v>
      </c>
      <c r="Q61" s="11"/>
      <c r="R61" s="10"/>
      <c r="S61" s="10"/>
    </row>
    <row r="62" spans="1:19" s="9" customFormat="1" ht="12.75">
      <c r="A62" s="183"/>
      <c r="B62" s="73" t="s">
        <v>574</v>
      </c>
      <c r="C62" s="33">
        <v>60</v>
      </c>
      <c r="D62" s="33">
        <v>1986</v>
      </c>
      <c r="E62" s="74">
        <v>21</v>
      </c>
      <c r="F62" s="74">
        <v>7.6716</v>
      </c>
      <c r="G62" s="74">
        <v>9.28</v>
      </c>
      <c r="H62" s="74">
        <f>E62-F62-G62</f>
        <v>4.048400000000001</v>
      </c>
      <c r="I62" s="75">
        <v>3808.21</v>
      </c>
      <c r="J62" s="74">
        <v>4.0484</v>
      </c>
      <c r="K62" s="75">
        <v>3808.21</v>
      </c>
      <c r="L62" s="48">
        <f>J62/K62</f>
        <v>0.0010630716268273022</v>
      </c>
      <c r="M62" s="45">
        <v>243.179</v>
      </c>
      <c r="N62" s="45">
        <f>L62*M62</f>
        <v>0.2585166951402365</v>
      </c>
      <c r="O62" s="45">
        <f>L62*1000*60</f>
        <v>63.78429760963813</v>
      </c>
      <c r="P62" s="45">
        <f>N62*60</f>
        <v>15.51100170841419</v>
      </c>
      <c r="R62" s="10"/>
      <c r="S62" s="10"/>
    </row>
    <row r="63" spans="1:19" s="9" customFormat="1" ht="12.75">
      <c r="A63" s="183"/>
      <c r="B63" s="101" t="s">
        <v>225</v>
      </c>
      <c r="C63" s="102">
        <v>30</v>
      </c>
      <c r="D63" s="33">
        <v>1994</v>
      </c>
      <c r="E63" s="74">
        <f>+F63+G63+H63</f>
        <v>9.652002</v>
      </c>
      <c r="F63" s="103">
        <v>3.167097</v>
      </c>
      <c r="G63" s="103">
        <v>4.8</v>
      </c>
      <c r="H63" s="103">
        <v>1.684905</v>
      </c>
      <c r="I63" s="104">
        <v>1569.45</v>
      </c>
      <c r="J63" s="103">
        <v>1.684905</v>
      </c>
      <c r="K63" s="104">
        <v>1569.45</v>
      </c>
      <c r="L63" s="48">
        <f>+J63/K63</f>
        <v>0.0010735639873841155</v>
      </c>
      <c r="M63" s="45">
        <v>312.83</v>
      </c>
      <c r="N63" s="45">
        <f>+L63*M63</f>
        <v>0.3358430221733728</v>
      </c>
      <c r="O63" s="45">
        <f>+L63*60*1000</f>
        <v>64.41383924304694</v>
      </c>
      <c r="P63" s="45">
        <f>+N63*60</f>
        <v>20.150581330402368</v>
      </c>
      <c r="R63" s="10"/>
      <c r="S63" s="10"/>
    </row>
    <row r="64" spans="1:19" s="9" customFormat="1" ht="12.75">
      <c r="A64" s="183"/>
      <c r="B64" s="73" t="s">
        <v>575</v>
      </c>
      <c r="C64" s="33">
        <v>55</v>
      </c>
      <c r="D64" s="33">
        <v>1966</v>
      </c>
      <c r="E64" s="74">
        <v>16.4</v>
      </c>
      <c r="F64" s="74">
        <v>4.8473</v>
      </c>
      <c r="G64" s="74">
        <v>8.8</v>
      </c>
      <c r="H64" s="74">
        <f>E64-F64-G64</f>
        <v>2.7526999999999973</v>
      </c>
      <c r="I64" s="75">
        <v>2564.02</v>
      </c>
      <c r="J64" s="74">
        <v>2.7527</v>
      </c>
      <c r="K64" s="75">
        <v>2564.02</v>
      </c>
      <c r="L64" s="48">
        <f>J64/K64</f>
        <v>0.0010735875695197384</v>
      </c>
      <c r="M64" s="45">
        <v>243.179</v>
      </c>
      <c r="N64" s="45">
        <f>L64*M64</f>
        <v>0.2610739515682405</v>
      </c>
      <c r="O64" s="45">
        <f>L64*1000*60</f>
        <v>64.4152541711843</v>
      </c>
      <c r="P64" s="45">
        <f>N64*60</f>
        <v>15.66443709409443</v>
      </c>
      <c r="R64" s="10"/>
      <c r="S64" s="10"/>
    </row>
    <row r="65" spans="1:19" s="9" customFormat="1" ht="12.75">
      <c r="A65" s="183"/>
      <c r="B65" s="73" t="s">
        <v>75</v>
      </c>
      <c r="C65" s="33">
        <v>86</v>
      </c>
      <c r="D65" s="33">
        <v>2006</v>
      </c>
      <c r="E65" s="74">
        <v>19.28</v>
      </c>
      <c r="F65" s="74">
        <v>13.21</v>
      </c>
      <c r="G65" s="74">
        <v>0.54</v>
      </c>
      <c r="H65" s="74">
        <f>E65-F65-G65</f>
        <v>5.53</v>
      </c>
      <c r="I65" s="75">
        <v>5060</v>
      </c>
      <c r="J65" s="74">
        <f>H65/I65*K65</f>
        <v>5.53</v>
      </c>
      <c r="K65" s="33">
        <v>5060</v>
      </c>
      <c r="L65" s="48">
        <f>J65/K65</f>
        <v>0.0010928853754940712</v>
      </c>
      <c r="M65" s="45">
        <v>332.56</v>
      </c>
      <c r="N65" s="45">
        <f>L65*M65</f>
        <v>0.36344996047430833</v>
      </c>
      <c r="O65" s="45">
        <f>L65*60*1000</f>
        <v>65.57312252964427</v>
      </c>
      <c r="P65" s="45">
        <f>O65*M65/1000</f>
        <v>21.806997628458497</v>
      </c>
      <c r="R65" s="10"/>
      <c r="S65" s="10"/>
    </row>
    <row r="66" spans="1:19" s="9" customFormat="1" ht="12.75">
      <c r="A66" s="183"/>
      <c r="B66" s="73" t="s">
        <v>531</v>
      </c>
      <c r="C66" s="33">
        <v>29</v>
      </c>
      <c r="D66" s="33" t="s">
        <v>31</v>
      </c>
      <c r="E66" s="74">
        <f>F66+G66+H66</f>
        <v>9.699</v>
      </c>
      <c r="F66" s="74">
        <v>3.2594</v>
      </c>
      <c r="G66" s="74">
        <v>4.64</v>
      </c>
      <c r="H66" s="74">
        <v>1.7996</v>
      </c>
      <c r="I66" s="75">
        <v>1637.55</v>
      </c>
      <c r="J66" s="74">
        <v>1.7996</v>
      </c>
      <c r="K66" s="75">
        <v>1637.55</v>
      </c>
      <c r="L66" s="48">
        <f>J66/K66</f>
        <v>0.0010989588104180026</v>
      </c>
      <c r="M66" s="45">
        <v>206.4</v>
      </c>
      <c r="N66" s="45">
        <f>L66*M66</f>
        <v>0.22682509847027574</v>
      </c>
      <c r="O66" s="45">
        <f>L66*1000*60</f>
        <v>65.93752862508015</v>
      </c>
      <c r="P66" s="45">
        <f>N66*60</f>
        <v>13.609505908216544</v>
      </c>
      <c r="R66" s="10"/>
      <c r="S66" s="10"/>
    </row>
    <row r="67" spans="1:19" s="9" customFormat="1" ht="12.75">
      <c r="A67" s="183"/>
      <c r="B67" s="73" t="s">
        <v>496</v>
      </c>
      <c r="C67" s="75">
        <v>10</v>
      </c>
      <c r="D67" s="33" t="s">
        <v>31</v>
      </c>
      <c r="E67" s="74">
        <f>F67+G67+H67</f>
        <v>3.64</v>
      </c>
      <c r="F67" s="74">
        <v>1.303458</v>
      </c>
      <c r="G67" s="74">
        <v>1.6</v>
      </c>
      <c r="H67" s="74">
        <v>0.736542</v>
      </c>
      <c r="I67" s="75">
        <v>641.61</v>
      </c>
      <c r="J67" s="74">
        <v>0.736542</v>
      </c>
      <c r="K67" s="75">
        <v>641.61</v>
      </c>
      <c r="L67" s="48">
        <f>J67/K67</f>
        <v>0.001147959040538645</v>
      </c>
      <c r="M67" s="45">
        <v>221.4</v>
      </c>
      <c r="N67" s="45">
        <f>L67*M67</f>
        <v>0.254158131575256</v>
      </c>
      <c r="O67" s="45">
        <f>L67*60*1000</f>
        <v>68.87754243231869</v>
      </c>
      <c r="P67" s="45">
        <f>O67*M67/1000</f>
        <v>15.249487894515358</v>
      </c>
      <c r="R67" s="10"/>
      <c r="S67" s="10"/>
    </row>
    <row r="68" spans="1:19" s="9" customFormat="1" ht="12.75" customHeight="1">
      <c r="A68" s="183"/>
      <c r="B68" s="121" t="s">
        <v>289</v>
      </c>
      <c r="C68" s="59">
        <v>100</v>
      </c>
      <c r="D68" s="59">
        <v>1973</v>
      </c>
      <c r="E68" s="56">
        <v>30.058005</v>
      </c>
      <c r="F68" s="56">
        <v>9.041127</v>
      </c>
      <c r="G68" s="56">
        <v>15.971</v>
      </c>
      <c r="H68" s="56">
        <v>5.045878</v>
      </c>
      <c r="I68" s="143">
        <v>4362.31</v>
      </c>
      <c r="J68" s="56">
        <v>5.045878</v>
      </c>
      <c r="K68" s="143">
        <v>4362.31</v>
      </c>
      <c r="L68" s="140">
        <v>0.001156</v>
      </c>
      <c r="M68" s="55">
        <v>281.7</v>
      </c>
      <c r="N68" s="141">
        <f>L68*M68*1.09</f>
        <v>0.354953268</v>
      </c>
      <c r="O68" s="141">
        <f>L68*60*1000</f>
        <v>69.35999999999999</v>
      </c>
      <c r="P68" s="141">
        <f>O68*M68/1000</f>
        <v>19.538711999999997</v>
      </c>
      <c r="Q68" s="11"/>
      <c r="R68" s="10"/>
      <c r="S68" s="10"/>
    </row>
    <row r="69" spans="1:19" s="9" customFormat="1" ht="12.75" customHeight="1">
      <c r="A69" s="183"/>
      <c r="B69" s="73" t="s">
        <v>37</v>
      </c>
      <c r="C69" s="33">
        <v>60</v>
      </c>
      <c r="D69" s="33">
        <v>1994</v>
      </c>
      <c r="E69" s="74">
        <v>19.185</v>
      </c>
      <c r="F69" s="74">
        <v>7.092846</v>
      </c>
      <c r="G69" s="74">
        <v>9.52</v>
      </c>
      <c r="H69" s="74">
        <v>2.572153</v>
      </c>
      <c r="I69" s="75">
        <v>2203.82</v>
      </c>
      <c r="J69" s="74">
        <f>H69</f>
        <v>2.572153</v>
      </c>
      <c r="K69" s="75">
        <v>2203.82</v>
      </c>
      <c r="L69" s="48">
        <f aca="true" t="shared" si="12" ref="L69:L76">J69/K69</f>
        <v>0.001167133885707544</v>
      </c>
      <c r="M69" s="45">
        <v>307.38</v>
      </c>
      <c r="N69" s="45">
        <f aca="true" t="shared" si="13" ref="N69:N76">L69*M69</f>
        <v>0.3587536137887849</v>
      </c>
      <c r="O69" s="45">
        <f>L69*60*1000</f>
        <v>70.02803314245266</v>
      </c>
      <c r="P69" s="45">
        <f>N69*60</f>
        <v>21.525216827327093</v>
      </c>
      <c r="R69" s="10"/>
      <c r="S69" s="10"/>
    </row>
    <row r="70" spans="1:25" s="9" customFormat="1" ht="12.75" customHeight="1">
      <c r="A70" s="183"/>
      <c r="B70" s="121" t="s">
        <v>454</v>
      </c>
      <c r="C70" s="59">
        <v>29</v>
      </c>
      <c r="D70" s="59">
        <v>2007</v>
      </c>
      <c r="E70" s="56">
        <v>8.865</v>
      </c>
      <c r="F70" s="56">
        <v>3.356667</v>
      </c>
      <c r="G70" s="56">
        <v>2.483933</v>
      </c>
      <c r="H70" s="56">
        <v>3.0244</v>
      </c>
      <c r="I70" s="143">
        <v>2768.25</v>
      </c>
      <c r="J70" s="56">
        <v>3.02</v>
      </c>
      <c r="K70" s="143">
        <v>2582.18</v>
      </c>
      <c r="L70" s="142">
        <f t="shared" si="12"/>
        <v>0.00116955440751613</v>
      </c>
      <c r="M70" s="55">
        <v>334.412</v>
      </c>
      <c r="N70" s="141">
        <f t="shared" si="13"/>
        <v>0.39111302852628405</v>
      </c>
      <c r="O70" s="141">
        <f>L70*60*1000</f>
        <v>70.1732644509678</v>
      </c>
      <c r="P70" s="141">
        <f>O70*M70/1000</f>
        <v>23.466781711577045</v>
      </c>
      <c r="Q70" s="17"/>
      <c r="R70" s="10"/>
      <c r="S70" s="10"/>
      <c r="T70" s="17"/>
      <c r="U70" s="17"/>
      <c r="V70" s="17"/>
      <c r="W70" s="17"/>
      <c r="X70" s="17"/>
      <c r="Y70" s="17"/>
    </row>
    <row r="71" spans="1:22" s="9" customFormat="1" ht="12.75" customHeight="1">
      <c r="A71" s="183"/>
      <c r="B71" s="73" t="s">
        <v>576</v>
      </c>
      <c r="C71" s="33">
        <v>12</v>
      </c>
      <c r="D71" s="33">
        <v>1963</v>
      </c>
      <c r="E71" s="74">
        <v>3.42</v>
      </c>
      <c r="F71" s="74">
        <v>0.8724</v>
      </c>
      <c r="G71" s="74">
        <v>1.92</v>
      </c>
      <c r="H71" s="74">
        <f>E71-F71-G71</f>
        <v>0.6276000000000002</v>
      </c>
      <c r="I71" s="75">
        <v>532.45</v>
      </c>
      <c r="J71" s="74">
        <v>0.6276</v>
      </c>
      <c r="K71" s="75">
        <v>532.45</v>
      </c>
      <c r="L71" s="48">
        <f t="shared" si="12"/>
        <v>0.0011787022255610854</v>
      </c>
      <c r="M71" s="45">
        <v>243.179</v>
      </c>
      <c r="N71" s="45">
        <f t="shared" si="13"/>
        <v>0.2866356285097192</v>
      </c>
      <c r="O71" s="45">
        <f>L71*1000*60</f>
        <v>70.72213353366513</v>
      </c>
      <c r="P71" s="45">
        <f>N71*60</f>
        <v>17.19813771058315</v>
      </c>
      <c r="Q71" s="10"/>
      <c r="R71" s="10"/>
      <c r="S71" s="10"/>
      <c r="T71" s="12"/>
      <c r="U71" s="13"/>
      <c r="V71" s="13"/>
    </row>
    <row r="72" spans="1:19" s="9" customFormat="1" ht="12.75" customHeight="1">
      <c r="A72" s="183"/>
      <c r="B72" s="73" t="s">
        <v>532</v>
      </c>
      <c r="C72" s="33">
        <v>22</v>
      </c>
      <c r="D72" s="33">
        <v>2009</v>
      </c>
      <c r="E72" s="74">
        <f>F72+G72+H72</f>
        <v>5.4584</v>
      </c>
      <c r="F72" s="74">
        <v>3.0129</v>
      </c>
      <c r="G72" s="74">
        <v>0</v>
      </c>
      <c r="H72" s="74">
        <v>2.4455</v>
      </c>
      <c r="I72" s="75">
        <v>2046.35</v>
      </c>
      <c r="J72" s="74">
        <v>2.4455</v>
      </c>
      <c r="K72" s="75">
        <v>2046.35</v>
      </c>
      <c r="L72" s="48">
        <f t="shared" si="12"/>
        <v>0.00119505460942654</v>
      </c>
      <c r="M72" s="45">
        <v>206.4</v>
      </c>
      <c r="N72" s="45">
        <f t="shared" si="13"/>
        <v>0.24665927138563784</v>
      </c>
      <c r="O72" s="45">
        <f>L72*1000*60</f>
        <v>71.7032765655924</v>
      </c>
      <c r="P72" s="45">
        <f>N72*60</f>
        <v>14.799556283138271</v>
      </c>
      <c r="R72" s="10"/>
      <c r="S72" s="10"/>
    </row>
    <row r="73" spans="1:25" s="9" customFormat="1" ht="12.75" customHeight="1">
      <c r="A73" s="183"/>
      <c r="B73" s="73" t="s">
        <v>182</v>
      </c>
      <c r="C73" s="33">
        <v>45</v>
      </c>
      <c r="D73" s="33">
        <v>1976</v>
      </c>
      <c r="E73" s="74">
        <v>13.529</v>
      </c>
      <c r="F73" s="74">
        <v>3.537</v>
      </c>
      <c r="G73" s="74">
        <v>7.2</v>
      </c>
      <c r="H73" s="74">
        <v>2.792</v>
      </c>
      <c r="I73" s="75">
        <v>2309.86</v>
      </c>
      <c r="J73" s="74">
        <v>2.792</v>
      </c>
      <c r="K73" s="75">
        <v>2309.86</v>
      </c>
      <c r="L73" s="48">
        <f t="shared" si="12"/>
        <v>0.0012087312650983174</v>
      </c>
      <c r="M73" s="45">
        <v>267.81</v>
      </c>
      <c r="N73" s="45">
        <f t="shared" si="13"/>
        <v>0.3237103201059804</v>
      </c>
      <c r="O73" s="45">
        <f>L73*60*1000</f>
        <v>72.52387590589905</v>
      </c>
      <c r="P73" s="45">
        <f>O73*M73/1000</f>
        <v>19.422619206358824</v>
      </c>
      <c r="Q73" s="17"/>
      <c r="R73" s="10"/>
      <c r="S73" s="10"/>
      <c r="T73" s="17"/>
      <c r="U73" s="17"/>
      <c r="V73" s="17"/>
      <c r="W73" s="17"/>
      <c r="X73" s="17"/>
      <c r="Y73" s="17"/>
    </row>
    <row r="74" spans="1:16" s="9" customFormat="1" ht="12.75" customHeight="1">
      <c r="A74" s="183"/>
      <c r="B74" s="73" t="s">
        <v>497</v>
      </c>
      <c r="C74" s="75">
        <v>20</v>
      </c>
      <c r="D74" s="33" t="s">
        <v>31</v>
      </c>
      <c r="E74" s="74">
        <f>F74+G74+H74</f>
        <v>7.110322999999999</v>
      </c>
      <c r="F74" s="74">
        <v>2.397</v>
      </c>
      <c r="G74" s="74">
        <v>3.2</v>
      </c>
      <c r="H74" s="74">
        <v>1.513323</v>
      </c>
      <c r="I74" s="75">
        <v>1239.08</v>
      </c>
      <c r="J74" s="74">
        <v>1.513323</v>
      </c>
      <c r="K74" s="75">
        <v>1239.08</v>
      </c>
      <c r="L74" s="48">
        <f t="shared" si="12"/>
        <v>0.0012213279207153695</v>
      </c>
      <c r="M74" s="45">
        <v>221.4</v>
      </c>
      <c r="N74" s="45">
        <f t="shared" si="13"/>
        <v>0.27040200164638284</v>
      </c>
      <c r="O74" s="45">
        <f>L74*60*1000</f>
        <v>73.27967524292217</v>
      </c>
      <c r="P74" s="45">
        <f>O74*M74/1000</f>
        <v>16.22412009878297</v>
      </c>
    </row>
    <row r="75" spans="1:16" s="9" customFormat="1" ht="12.75" customHeight="1">
      <c r="A75" s="183"/>
      <c r="B75" s="121" t="s">
        <v>345</v>
      </c>
      <c r="C75" s="59">
        <v>45</v>
      </c>
      <c r="D75" s="59">
        <v>1981</v>
      </c>
      <c r="E75" s="56">
        <f>F75+G75+H75</f>
        <v>15.64</v>
      </c>
      <c r="F75" s="56">
        <v>5.6</v>
      </c>
      <c r="G75" s="56">
        <v>7.2</v>
      </c>
      <c r="H75" s="56">
        <v>2.84</v>
      </c>
      <c r="I75" s="143">
        <v>2323.16</v>
      </c>
      <c r="J75" s="56">
        <v>2.84</v>
      </c>
      <c r="K75" s="143">
        <v>2323.16</v>
      </c>
      <c r="L75" s="142">
        <f t="shared" si="12"/>
        <v>0.001222472838719675</v>
      </c>
      <c r="M75" s="55">
        <v>320.7</v>
      </c>
      <c r="N75" s="141">
        <f t="shared" si="13"/>
        <v>0.3920470393773997</v>
      </c>
      <c r="O75" s="141">
        <f>L75*60*1000</f>
        <v>73.34837032318049</v>
      </c>
      <c r="P75" s="141">
        <f>O75*M75/1000</f>
        <v>23.522822362643982</v>
      </c>
    </row>
    <row r="76" spans="1:19" s="9" customFormat="1" ht="12.75" customHeight="1">
      <c r="A76" s="183"/>
      <c r="B76" s="73" t="s">
        <v>76</v>
      </c>
      <c r="C76" s="33">
        <v>60</v>
      </c>
      <c r="D76" s="33">
        <v>2005</v>
      </c>
      <c r="E76" s="74">
        <v>19.44</v>
      </c>
      <c r="F76" s="74">
        <v>11.7</v>
      </c>
      <c r="G76" s="74">
        <v>1.64</v>
      </c>
      <c r="H76" s="74">
        <f>E76-F76-G76</f>
        <v>6.100000000000002</v>
      </c>
      <c r="I76" s="75">
        <v>4933</v>
      </c>
      <c r="J76" s="74">
        <f>H76/I76*K76</f>
        <v>5.91946077437665</v>
      </c>
      <c r="K76" s="33">
        <v>4787</v>
      </c>
      <c r="L76" s="48">
        <f t="shared" si="12"/>
        <v>0.0012365700385161165</v>
      </c>
      <c r="M76" s="45">
        <v>332.56</v>
      </c>
      <c r="N76" s="45">
        <f t="shared" si="13"/>
        <v>0.4112337320089197</v>
      </c>
      <c r="O76" s="45">
        <f>L76*60*1000</f>
        <v>74.19420231096699</v>
      </c>
      <c r="P76" s="45">
        <f>O76*M76/1000</f>
        <v>24.674023920535184</v>
      </c>
      <c r="R76" s="10"/>
      <c r="S76" s="10"/>
    </row>
    <row r="77" spans="1:19" s="9" customFormat="1" ht="12.75" customHeight="1">
      <c r="A77" s="183"/>
      <c r="B77" s="101" t="s">
        <v>226</v>
      </c>
      <c r="C77" s="102">
        <v>10</v>
      </c>
      <c r="D77" s="33">
        <v>2001</v>
      </c>
      <c r="E77" s="74">
        <f>+F77+G77+H77</f>
        <v>4.481999</v>
      </c>
      <c r="F77" s="103">
        <v>1.6634600000000002</v>
      </c>
      <c r="G77" s="103">
        <v>1.6</v>
      </c>
      <c r="H77" s="103">
        <v>1.218539</v>
      </c>
      <c r="I77" s="104">
        <v>1100.65</v>
      </c>
      <c r="J77" s="103">
        <v>1.218539</v>
      </c>
      <c r="K77" s="104">
        <v>982.46</v>
      </c>
      <c r="L77" s="48">
        <f>+J77/K77</f>
        <v>0.0012402937524174011</v>
      </c>
      <c r="M77" s="45">
        <v>312.83</v>
      </c>
      <c r="N77" s="45">
        <f>+L77*M77</f>
        <v>0.38800109456873555</v>
      </c>
      <c r="O77" s="45">
        <f>+L77*60*1000</f>
        <v>74.41762514504406</v>
      </c>
      <c r="P77" s="45">
        <f>+N77*60</f>
        <v>23.28006567412413</v>
      </c>
      <c r="R77" s="10"/>
      <c r="S77" s="10"/>
    </row>
    <row r="78" spans="1:25" s="9" customFormat="1" ht="12.75" customHeight="1">
      <c r="A78" s="183"/>
      <c r="B78" s="92" t="s">
        <v>162</v>
      </c>
      <c r="C78" s="93">
        <v>45</v>
      </c>
      <c r="D78" s="33" t="s">
        <v>31</v>
      </c>
      <c r="E78" s="94">
        <v>15.207</v>
      </c>
      <c r="F78" s="94">
        <v>5.097</v>
      </c>
      <c r="G78" s="94">
        <v>7.2</v>
      </c>
      <c r="H78" s="94">
        <v>2.91</v>
      </c>
      <c r="I78" s="93">
        <v>2333.03</v>
      </c>
      <c r="J78" s="94">
        <v>2.91</v>
      </c>
      <c r="K78" s="93">
        <v>2333.03</v>
      </c>
      <c r="L78" s="48">
        <f aca="true" t="shared" si="14" ref="L78:L83">J78/K78</f>
        <v>0.0012473050067937403</v>
      </c>
      <c r="M78" s="45">
        <v>256</v>
      </c>
      <c r="N78" s="45">
        <f aca="true" t="shared" si="15" ref="N78:N83">L78*M78</f>
        <v>0.3193100817391975</v>
      </c>
      <c r="O78" s="45">
        <f>L78*60*1000</f>
        <v>74.83830040762442</v>
      </c>
      <c r="P78" s="45">
        <f>O78*M78/1000</f>
        <v>19.15860490435185</v>
      </c>
      <c r="Q78" s="17"/>
      <c r="R78" s="10"/>
      <c r="S78" s="10"/>
      <c r="T78" s="17"/>
      <c r="U78" s="17"/>
      <c r="V78" s="17"/>
      <c r="W78" s="17"/>
      <c r="X78" s="17"/>
      <c r="Y78" s="17"/>
    </row>
    <row r="79" spans="1:19" s="9" customFormat="1" ht="12.75" customHeight="1">
      <c r="A79" s="183"/>
      <c r="B79" s="73" t="s">
        <v>533</v>
      </c>
      <c r="C79" s="33">
        <v>30</v>
      </c>
      <c r="D79" s="33" t="s">
        <v>534</v>
      </c>
      <c r="E79" s="74">
        <f>F79+G79+H79</f>
        <v>10.2881</v>
      </c>
      <c r="F79" s="74">
        <v>3.3416</v>
      </c>
      <c r="G79" s="74">
        <v>4.8</v>
      </c>
      <c r="H79" s="74">
        <v>2.1465</v>
      </c>
      <c r="I79" s="75">
        <v>1717.43</v>
      </c>
      <c r="J79" s="74">
        <v>2.1465</v>
      </c>
      <c r="K79" s="75">
        <v>1717.43</v>
      </c>
      <c r="L79" s="48">
        <f t="shared" si="14"/>
        <v>0.0012498325987085354</v>
      </c>
      <c r="M79" s="45">
        <v>206.4</v>
      </c>
      <c r="N79" s="45">
        <f t="shared" si="15"/>
        <v>0.2579654483734417</v>
      </c>
      <c r="O79" s="45">
        <f>L79*1000*60</f>
        <v>74.98995592251212</v>
      </c>
      <c r="P79" s="45">
        <f>N79*60</f>
        <v>15.477926902406502</v>
      </c>
      <c r="R79" s="10"/>
      <c r="S79" s="10"/>
    </row>
    <row r="80" spans="1:19" s="9" customFormat="1" ht="12.75" customHeight="1">
      <c r="A80" s="183"/>
      <c r="B80" s="73" t="s">
        <v>498</v>
      </c>
      <c r="C80" s="75">
        <v>55</v>
      </c>
      <c r="D80" s="33" t="s">
        <v>31</v>
      </c>
      <c r="E80" s="74">
        <f>F80+G80+H80</f>
        <v>15.246065000000002</v>
      </c>
      <c r="F80" s="74">
        <v>3.672</v>
      </c>
      <c r="G80" s="74">
        <v>8.4</v>
      </c>
      <c r="H80" s="74">
        <v>3.174065</v>
      </c>
      <c r="I80" s="75">
        <v>2537.72</v>
      </c>
      <c r="J80" s="74">
        <v>3.174065</v>
      </c>
      <c r="K80" s="75">
        <v>2537.72</v>
      </c>
      <c r="L80" s="48">
        <f t="shared" si="14"/>
        <v>0.001250754614378261</v>
      </c>
      <c r="M80" s="45">
        <v>221.4</v>
      </c>
      <c r="N80" s="45">
        <f t="shared" si="15"/>
        <v>0.276917071623347</v>
      </c>
      <c r="O80" s="45">
        <f>L80*60*1000</f>
        <v>75.04527686269566</v>
      </c>
      <c r="P80" s="45">
        <f>O80*M80/1000</f>
        <v>16.61502429740082</v>
      </c>
      <c r="R80" s="10"/>
      <c r="S80" s="10"/>
    </row>
    <row r="81" spans="1:19" s="9" customFormat="1" ht="12.75" customHeight="1">
      <c r="A81" s="183"/>
      <c r="B81" s="73" t="s">
        <v>183</v>
      </c>
      <c r="C81" s="33">
        <v>60</v>
      </c>
      <c r="D81" s="33">
        <v>1970</v>
      </c>
      <c r="E81" s="74">
        <v>18.14</v>
      </c>
      <c r="F81" s="74">
        <v>5.083</v>
      </c>
      <c r="G81" s="74">
        <v>9.6</v>
      </c>
      <c r="H81" s="74">
        <v>3.457</v>
      </c>
      <c r="I81" s="75">
        <v>2723.4</v>
      </c>
      <c r="J81" s="74">
        <v>3.457</v>
      </c>
      <c r="K81" s="75">
        <v>2723.4</v>
      </c>
      <c r="L81" s="48">
        <f t="shared" si="14"/>
        <v>0.0012693691708893294</v>
      </c>
      <c r="M81" s="45">
        <v>267.81</v>
      </c>
      <c r="N81" s="45">
        <f t="shared" si="15"/>
        <v>0.3399497576558713</v>
      </c>
      <c r="O81" s="45">
        <f>L81*60*1000</f>
        <v>76.16215025335975</v>
      </c>
      <c r="P81" s="45">
        <f>O81*M81/1000</f>
        <v>20.396985459352276</v>
      </c>
      <c r="R81" s="10"/>
      <c r="S81" s="10"/>
    </row>
    <row r="82" spans="1:19" s="9" customFormat="1" ht="12.75" customHeight="1">
      <c r="A82" s="183"/>
      <c r="B82" s="73" t="s">
        <v>77</v>
      </c>
      <c r="C82" s="33">
        <v>51</v>
      </c>
      <c r="D82" s="33">
        <v>2005</v>
      </c>
      <c r="E82" s="74">
        <v>12.05</v>
      </c>
      <c r="F82" s="74">
        <v>5.97</v>
      </c>
      <c r="G82" s="74">
        <v>2.11</v>
      </c>
      <c r="H82" s="74">
        <f>E82-F82-G82</f>
        <v>3.970000000000001</v>
      </c>
      <c r="I82" s="75">
        <v>3073.9</v>
      </c>
      <c r="J82" s="74">
        <f>H82/I82*K82</f>
        <v>3.8771397898435223</v>
      </c>
      <c r="K82" s="33">
        <v>3002</v>
      </c>
      <c r="L82" s="48">
        <f t="shared" si="14"/>
        <v>0.0012915189173362833</v>
      </c>
      <c r="M82" s="45">
        <v>332.56</v>
      </c>
      <c r="N82" s="45">
        <f t="shared" si="15"/>
        <v>0.42950753114935436</v>
      </c>
      <c r="O82" s="45">
        <f>L82*60*1000</f>
        <v>77.491135040177</v>
      </c>
      <c r="P82" s="45">
        <f>O82*M82/1000</f>
        <v>25.770451868961263</v>
      </c>
      <c r="R82" s="10"/>
      <c r="S82" s="10"/>
    </row>
    <row r="83" spans="1:19" s="9" customFormat="1" ht="12.75" customHeight="1">
      <c r="A83" s="183"/>
      <c r="B83" s="73" t="s">
        <v>781</v>
      </c>
      <c r="C83" s="33">
        <v>22</v>
      </c>
      <c r="D83" s="33">
        <v>1983</v>
      </c>
      <c r="E83" s="74">
        <v>9.7</v>
      </c>
      <c r="F83" s="74">
        <v>3.964</v>
      </c>
      <c r="G83" s="74">
        <v>3.36</v>
      </c>
      <c r="H83" s="74">
        <v>1.525</v>
      </c>
      <c r="I83" s="44" t="s">
        <v>782</v>
      </c>
      <c r="J83" s="74">
        <v>1.525</v>
      </c>
      <c r="K83" s="75">
        <v>1178.53</v>
      </c>
      <c r="L83" s="48">
        <f t="shared" si="14"/>
        <v>0.0012939848794684904</v>
      </c>
      <c r="M83" s="45">
        <v>354.25</v>
      </c>
      <c r="N83" s="45">
        <f t="shared" si="15"/>
        <v>0.4583941435517127</v>
      </c>
      <c r="O83" s="45">
        <f>L83*60*1000</f>
        <v>77.63909276810944</v>
      </c>
      <c r="P83" s="45">
        <f>O83*M83/1000</f>
        <v>27.503648613102765</v>
      </c>
      <c r="R83" s="10"/>
      <c r="S83" s="10"/>
    </row>
    <row r="84" spans="1:19" s="9" customFormat="1" ht="12.75" customHeight="1">
      <c r="A84" s="183"/>
      <c r="B84" s="136" t="s">
        <v>227</v>
      </c>
      <c r="C84" s="137">
        <v>29</v>
      </c>
      <c r="D84" s="33">
        <v>1999</v>
      </c>
      <c r="E84" s="74">
        <f>+F84+G84+H84</f>
        <v>9.90898</v>
      </c>
      <c r="F84" s="94">
        <v>5.258680000000001</v>
      </c>
      <c r="G84" s="94">
        <v>2.32</v>
      </c>
      <c r="H84" s="94">
        <v>2.3303000000000003</v>
      </c>
      <c r="I84" s="93">
        <v>3616.71</v>
      </c>
      <c r="J84" s="94">
        <v>2.3303000000000003</v>
      </c>
      <c r="K84" s="93">
        <v>1796.56</v>
      </c>
      <c r="L84" s="48">
        <f>+J84/K84</f>
        <v>0.0012970899942111593</v>
      </c>
      <c r="M84" s="45">
        <v>312.83</v>
      </c>
      <c r="N84" s="45">
        <f>+L84*M84</f>
        <v>0.4057686628890769</v>
      </c>
      <c r="O84" s="45">
        <f>+L84*60*1000</f>
        <v>77.82539965266956</v>
      </c>
      <c r="P84" s="45">
        <f>+N84*60</f>
        <v>24.346119773344615</v>
      </c>
      <c r="R84" s="10"/>
      <c r="S84" s="10"/>
    </row>
    <row r="85" spans="1:16" s="9" customFormat="1" ht="13.5" customHeight="1">
      <c r="A85" s="183"/>
      <c r="B85" s="92" t="s">
        <v>163</v>
      </c>
      <c r="C85" s="93">
        <v>45</v>
      </c>
      <c r="D85" s="33" t="s">
        <v>31</v>
      </c>
      <c r="E85" s="94">
        <v>14.4</v>
      </c>
      <c r="F85" s="94">
        <v>4.14</v>
      </c>
      <c r="G85" s="94">
        <v>7.2</v>
      </c>
      <c r="H85" s="94">
        <v>3.06</v>
      </c>
      <c r="I85" s="93">
        <v>2313.86</v>
      </c>
      <c r="J85" s="94">
        <v>3.06</v>
      </c>
      <c r="K85" s="93">
        <v>2313.86</v>
      </c>
      <c r="L85" s="48">
        <f>J85/K85</f>
        <v>0.0013224654905655484</v>
      </c>
      <c r="M85" s="45">
        <v>256</v>
      </c>
      <c r="N85" s="45">
        <f>L85*M85</f>
        <v>0.3385511655847804</v>
      </c>
      <c r="O85" s="45">
        <f aca="true" t="shared" si="16" ref="O85:O95">L85*60*1000</f>
        <v>79.3479294339329</v>
      </c>
      <c r="P85" s="45">
        <f>O85*M85/1000</f>
        <v>20.313069935086823</v>
      </c>
    </row>
    <row r="86" spans="1:19" s="9" customFormat="1" ht="12.75" customHeight="1">
      <c r="A86" s="183"/>
      <c r="B86" s="121" t="s">
        <v>290</v>
      </c>
      <c r="C86" s="59">
        <v>22</v>
      </c>
      <c r="D86" s="59">
        <v>2004</v>
      </c>
      <c r="E86" s="56">
        <v>9.443</v>
      </c>
      <c r="F86" s="56">
        <v>4.335</v>
      </c>
      <c r="G86" s="56">
        <v>3.52</v>
      </c>
      <c r="H86" s="56">
        <v>1.588</v>
      </c>
      <c r="I86" s="143">
        <v>1200</v>
      </c>
      <c r="J86" s="56">
        <v>1.588</v>
      </c>
      <c r="K86" s="143">
        <v>1200</v>
      </c>
      <c r="L86" s="140">
        <v>0.001323</v>
      </c>
      <c r="M86" s="55">
        <v>281.7</v>
      </c>
      <c r="N86" s="141">
        <f>L86*M86*1.09</f>
        <v>0.40623111900000003</v>
      </c>
      <c r="O86" s="141">
        <f t="shared" si="16"/>
        <v>79.38</v>
      </c>
      <c r="P86" s="141">
        <f>O86*M86/1000</f>
        <v>22.361345999999998</v>
      </c>
      <c r="R86" s="10"/>
      <c r="S86" s="10"/>
    </row>
    <row r="87" spans="1:19" s="9" customFormat="1" ht="12.75" customHeight="1">
      <c r="A87" s="183"/>
      <c r="B87" s="121" t="s">
        <v>291</v>
      </c>
      <c r="C87" s="59">
        <v>20</v>
      </c>
      <c r="D87" s="59">
        <v>1992</v>
      </c>
      <c r="E87" s="56">
        <v>7.523</v>
      </c>
      <c r="F87" s="56">
        <v>2.856</v>
      </c>
      <c r="G87" s="56">
        <v>3.2</v>
      </c>
      <c r="H87" s="56">
        <v>1.467</v>
      </c>
      <c r="I87" s="143">
        <v>1091.15</v>
      </c>
      <c r="J87" s="56">
        <v>1.467</v>
      </c>
      <c r="K87" s="143">
        <v>1091.15</v>
      </c>
      <c r="L87" s="140">
        <v>0.001344</v>
      </c>
      <c r="M87" s="55">
        <v>281.7</v>
      </c>
      <c r="N87" s="141">
        <f>L87*M87*1.09</f>
        <v>0.412679232</v>
      </c>
      <c r="O87" s="141">
        <f t="shared" si="16"/>
        <v>80.63999999999999</v>
      </c>
      <c r="P87" s="141">
        <f>O87*M87/1000</f>
        <v>22.716287999999995</v>
      </c>
      <c r="R87" s="10"/>
      <c r="S87" s="10"/>
    </row>
    <row r="88" spans="1:19" s="9" customFormat="1" ht="12.75" customHeight="1">
      <c r="A88" s="183"/>
      <c r="B88" s="76" t="s">
        <v>38</v>
      </c>
      <c r="C88" s="60">
        <v>61</v>
      </c>
      <c r="D88" s="60">
        <v>1965</v>
      </c>
      <c r="E88" s="77">
        <v>19.981</v>
      </c>
      <c r="F88" s="77">
        <v>6.669847</v>
      </c>
      <c r="G88" s="77">
        <v>9.6</v>
      </c>
      <c r="H88" s="77">
        <v>3.711158</v>
      </c>
      <c r="I88" s="78">
        <v>2700.04</v>
      </c>
      <c r="J88" s="77">
        <f>H88</f>
        <v>3.711158</v>
      </c>
      <c r="K88" s="78">
        <v>2700.04</v>
      </c>
      <c r="L88" s="66">
        <f aca="true" t="shared" si="17" ref="L88:L95">J88/K88</f>
        <v>0.001374482600257774</v>
      </c>
      <c r="M88" s="67">
        <v>307.38</v>
      </c>
      <c r="N88" s="67">
        <f aca="true" t="shared" si="18" ref="N88:N95">L88*M88</f>
        <v>0.4224884616672346</v>
      </c>
      <c r="O88" s="67">
        <f t="shared" si="16"/>
        <v>82.46895601546645</v>
      </c>
      <c r="P88" s="67">
        <f>N88*60</f>
        <v>25.349307700034075</v>
      </c>
      <c r="R88" s="10"/>
      <c r="S88" s="10"/>
    </row>
    <row r="89" spans="1:19" s="9" customFormat="1" ht="12.75">
      <c r="A89" s="183"/>
      <c r="B89" s="73" t="s">
        <v>119</v>
      </c>
      <c r="C89" s="33">
        <v>60</v>
      </c>
      <c r="D89" s="33">
        <v>1984</v>
      </c>
      <c r="E89" s="74">
        <v>23.82</v>
      </c>
      <c r="F89" s="74">
        <v>12.36139</v>
      </c>
      <c r="G89" s="74">
        <v>6</v>
      </c>
      <c r="H89" s="74">
        <f>E89-F89-G89</f>
        <v>5.45861</v>
      </c>
      <c r="I89" s="75">
        <v>3958.12</v>
      </c>
      <c r="J89" s="74">
        <f>H89</f>
        <v>5.45861</v>
      </c>
      <c r="K89" s="75">
        <f>I89</f>
        <v>3958.12</v>
      </c>
      <c r="L89" s="48">
        <f t="shared" si="17"/>
        <v>0.0013790915889361616</v>
      </c>
      <c r="M89" s="45">
        <v>288.2</v>
      </c>
      <c r="N89" s="45">
        <f t="shared" si="18"/>
        <v>0.39745419593140174</v>
      </c>
      <c r="O89" s="45">
        <f t="shared" si="16"/>
        <v>82.7454953361697</v>
      </c>
      <c r="P89" s="45">
        <f>O89*M89/1000</f>
        <v>23.847251755884106</v>
      </c>
      <c r="Q89" s="11"/>
      <c r="R89" s="10"/>
      <c r="S89" s="10"/>
    </row>
    <row r="90" spans="1:19" s="9" customFormat="1" ht="12.75" customHeight="1">
      <c r="A90" s="183"/>
      <c r="B90" s="73" t="s">
        <v>184</v>
      </c>
      <c r="C90" s="33">
        <v>34</v>
      </c>
      <c r="D90" s="33">
        <v>1983</v>
      </c>
      <c r="E90" s="74">
        <v>11.96</v>
      </c>
      <c r="F90" s="74">
        <v>3.855</v>
      </c>
      <c r="G90" s="74">
        <v>5.12</v>
      </c>
      <c r="H90" s="74">
        <v>2.985</v>
      </c>
      <c r="I90" s="75">
        <v>2162.72</v>
      </c>
      <c r="J90" s="74">
        <v>2.985</v>
      </c>
      <c r="K90" s="75">
        <v>2162.72</v>
      </c>
      <c r="L90" s="48">
        <f t="shared" si="17"/>
        <v>0.0013802064067470594</v>
      </c>
      <c r="M90" s="45">
        <v>267.81</v>
      </c>
      <c r="N90" s="45">
        <f t="shared" si="18"/>
        <v>0.36963307779092996</v>
      </c>
      <c r="O90" s="45">
        <f t="shared" si="16"/>
        <v>82.81238440482356</v>
      </c>
      <c r="P90" s="45">
        <f>O90*M90/1000</f>
        <v>22.1779846674558</v>
      </c>
      <c r="R90" s="10"/>
      <c r="S90" s="10"/>
    </row>
    <row r="91" spans="1:19" s="9" customFormat="1" ht="12.75">
      <c r="A91" s="183"/>
      <c r="B91" s="73" t="s">
        <v>769</v>
      </c>
      <c r="C91" s="33">
        <v>4</v>
      </c>
      <c r="D91" s="33" t="s">
        <v>534</v>
      </c>
      <c r="E91" s="74">
        <f>+F91+G91+H91</f>
        <v>0.378999</v>
      </c>
      <c r="F91" s="74">
        <v>0</v>
      </c>
      <c r="G91" s="74">
        <v>0</v>
      </c>
      <c r="H91" s="74">
        <v>0.378999</v>
      </c>
      <c r="I91" s="75">
        <v>272.94</v>
      </c>
      <c r="J91" s="74">
        <v>0.378999</v>
      </c>
      <c r="K91" s="75">
        <v>272.94</v>
      </c>
      <c r="L91" s="48">
        <f t="shared" si="17"/>
        <v>0.0013885799076720157</v>
      </c>
      <c r="M91" s="45">
        <v>276.9</v>
      </c>
      <c r="N91" s="45">
        <f t="shared" si="18"/>
        <v>0.3844977764343811</v>
      </c>
      <c r="O91" s="45">
        <f t="shared" si="16"/>
        <v>83.31479446032094</v>
      </c>
      <c r="P91" s="45">
        <f>O91*M91/1000</f>
        <v>23.06986658606287</v>
      </c>
      <c r="R91" s="10"/>
      <c r="S91" s="10"/>
    </row>
    <row r="92" spans="1:19" s="9" customFormat="1" ht="12.75">
      <c r="A92" s="183"/>
      <c r="B92" s="73" t="s">
        <v>767</v>
      </c>
      <c r="C92" s="33"/>
      <c r="D92" s="33" t="s">
        <v>534</v>
      </c>
      <c r="E92" s="74">
        <f>+F92+G92+H92</f>
        <v>4.0811</v>
      </c>
      <c r="F92" s="74">
        <v>1.347</v>
      </c>
      <c r="G92" s="74">
        <v>0.8941</v>
      </c>
      <c r="H92" s="74">
        <v>1.84</v>
      </c>
      <c r="I92" s="75">
        <v>1312.9</v>
      </c>
      <c r="J92" s="74">
        <v>1.84</v>
      </c>
      <c r="K92" s="75">
        <v>1312.9</v>
      </c>
      <c r="L92" s="48">
        <f t="shared" si="17"/>
        <v>0.0014014776449082183</v>
      </c>
      <c r="M92" s="45">
        <v>276.9</v>
      </c>
      <c r="N92" s="45">
        <f t="shared" si="18"/>
        <v>0.3880691598750856</v>
      </c>
      <c r="O92" s="45">
        <f t="shared" si="16"/>
        <v>84.0886586944931</v>
      </c>
      <c r="P92" s="45">
        <f>O92*M92/1000</f>
        <v>23.284149592505138</v>
      </c>
      <c r="R92" s="10"/>
      <c r="S92" s="10"/>
    </row>
    <row r="93" spans="1:19" s="9" customFormat="1" ht="12.75">
      <c r="A93" s="183"/>
      <c r="B93" s="73" t="s">
        <v>39</v>
      </c>
      <c r="C93" s="33">
        <v>21</v>
      </c>
      <c r="D93" s="33">
        <v>2005</v>
      </c>
      <c r="E93" s="74">
        <v>9.352</v>
      </c>
      <c r="F93" s="74">
        <v>5.197727</v>
      </c>
      <c r="G93" s="74">
        <v>1.68</v>
      </c>
      <c r="H93" s="74">
        <v>2.474273</v>
      </c>
      <c r="I93" s="75">
        <v>1763.36</v>
      </c>
      <c r="J93" s="74">
        <f>H93</f>
        <v>2.474273</v>
      </c>
      <c r="K93" s="75">
        <v>1763.36</v>
      </c>
      <c r="L93" s="48">
        <f t="shared" si="17"/>
        <v>0.001403158175301697</v>
      </c>
      <c r="M93" s="45">
        <v>307.38</v>
      </c>
      <c r="N93" s="45">
        <f t="shared" si="18"/>
        <v>0.4313027599242356</v>
      </c>
      <c r="O93" s="45">
        <f t="shared" si="16"/>
        <v>84.18949051810182</v>
      </c>
      <c r="P93" s="45">
        <f>N93*60</f>
        <v>25.878165595454135</v>
      </c>
      <c r="R93" s="10"/>
      <c r="S93" s="10"/>
    </row>
    <row r="94" spans="1:16" s="9" customFormat="1" ht="12.75" customHeight="1">
      <c r="A94" s="183"/>
      <c r="B94" s="73" t="s">
        <v>78</v>
      </c>
      <c r="C94" s="33">
        <v>39</v>
      </c>
      <c r="D94" s="33">
        <v>2007</v>
      </c>
      <c r="E94" s="74">
        <v>11.3</v>
      </c>
      <c r="F94" s="74">
        <v>7.9</v>
      </c>
      <c r="G94" s="74"/>
      <c r="H94" s="74">
        <f>E94-F94-G94</f>
        <v>3.4000000000000004</v>
      </c>
      <c r="I94" s="75">
        <v>2368.8</v>
      </c>
      <c r="J94" s="74">
        <f>H94/I94*K94</f>
        <v>3.4002870651806822</v>
      </c>
      <c r="K94" s="33">
        <v>2369</v>
      </c>
      <c r="L94" s="48">
        <f t="shared" si="17"/>
        <v>0.0014353259034110097</v>
      </c>
      <c r="M94" s="45">
        <v>332.56</v>
      </c>
      <c r="N94" s="45">
        <f t="shared" si="18"/>
        <v>0.4773319824383654</v>
      </c>
      <c r="O94" s="45">
        <f t="shared" si="16"/>
        <v>86.11955420466059</v>
      </c>
      <c r="P94" s="45">
        <f>O94*M94/1000</f>
        <v>28.639918946301925</v>
      </c>
    </row>
    <row r="95" spans="1:19" s="9" customFormat="1" ht="12.75" customHeight="1">
      <c r="A95" s="183"/>
      <c r="B95" s="73" t="s">
        <v>499</v>
      </c>
      <c r="C95" s="75">
        <v>43</v>
      </c>
      <c r="D95" s="33" t="s">
        <v>31</v>
      </c>
      <c r="E95" s="74">
        <f>F95+G95+H95</f>
        <v>14.698580999999999</v>
      </c>
      <c r="F95" s="74">
        <v>4.284</v>
      </c>
      <c r="G95" s="74">
        <v>7.05</v>
      </c>
      <c r="H95" s="74">
        <v>3.364581</v>
      </c>
      <c r="I95" s="75">
        <v>2318.55</v>
      </c>
      <c r="J95" s="74">
        <v>3.364577</v>
      </c>
      <c r="K95" s="75">
        <v>2318.55</v>
      </c>
      <c r="L95" s="48">
        <f t="shared" si="17"/>
        <v>0.0014511556791960492</v>
      </c>
      <c r="M95" s="45">
        <v>221.4</v>
      </c>
      <c r="N95" s="45">
        <f t="shared" si="18"/>
        <v>0.32128586737400533</v>
      </c>
      <c r="O95" s="45">
        <f t="shared" si="16"/>
        <v>87.06934075176295</v>
      </c>
      <c r="P95" s="45">
        <f>O95*M95/1000</f>
        <v>19.277152042440317</v>
      </c>
      <c r="R95" s="10"/>
      <c r="S95" s="10"/>
    </row>
    <row r="96" spans="1:16" s="9" customFormat="1" ht="12.75" customHeight="1">
      <c r="A96" s="183"/>
      <c r="B96" s="101" t="s">
        <v>228</v>
      </c>
      <c r="C96" s="102">
        <v>40</v>
      </c>
      <c r="D96" s="33">
        <v>2000</v>
      </c>
      <c r="E96" s="74">
        <f>+F96+G96+H96</f>
        <v>11.801716</v>
      </c>
      <c r="F96" s="103">
        <v>4.561100000000001</v>
      </c>
      <c r="G96" s="103">
        <v>3.2</v>
      </c>
      <c r="H96" s="103">
        <v>4.040616</v>
      </c>
      <c r="I96" s="104">
        <v>3205.7000000000003</v>
      </c>
      <c r="J96" s="103">
        <v>4.040616</v>
      </c>
      <c r="K96" s="104">
        <v>2763.85</v>
      </c>
      <c r="L96" s="48">
        <f>+J96/K96</f>
        <v>0.0014619519872641424</v>
      </c>
      <c r="M96" s="45">
        <v>312.83</v>
      </c>
      <c r="N96" s="45">
        <f>+L96*M96</f>
        <v>0.45734244017584164</v>
      </c>
      <c r="O96" s="45">
        <f>+L96*60*1000</f>
        <v>87.71711923584854</v>
      </c>
      <c r="P96" s="45">
        <f>+N96*60</f>
        <v>27.4405464105505</v>
      </c>
    </row>
    <row r="97" spans="1:19" s="9" customFormat="1" ht="12.75" customHeight="1">
      <c r="A97" s="183"/>
      <c r="B97" s="121" t="s">
        <v>455</v>
      </c>
      <c r="C97" s="59">
        <v>14</v>
      </c>
      <c r="D97" s="59">
        <v>2009</v>
      </c>
      <c r="E97" s="56">
        <v>7.464</v>
      </c>
      <c r="F97" s="56">
        <v>1.734</v>
      </c>
      <c r="G97" s="56">
        <v>1.803</v>
      </c>
      <c r="H97" s="56">
        <v>3.927</v>
      </c>
      <c r="I97" s="143">
        <v>3628.96</v>
      </c>
      <c r="J97" s="56">
        <v>2.37</v>
      </c>
      <c r="K97" s="143">
        <v>1618.9</v>
      </c>
      <c r="L97" s="142">
        <f>J97/K97</f>
        <v>0.001463957007844833</v>
      </c>
      <c r="M97" s="55">
        <v>334.412</v>
      </c>
      <c r="N97" s="141">
        <f>L97*M97</f>
        <v>0.48956479090740623</v>
      </c>
      <c r="O97" s="141">
        <f>L97*60*1000</f>
        <v>87.83742047068998</v>
      </c>
      <c r="P97" s="141">
        <f>O97*M97/1000</f>
        <v>29.373887454444375</v>
      </c>
      <c r="R97" s="10"/>
      <c r="S97" s="10"/>
    </row>
    <row r="98" spans="1:19" s="9" customFormat="1" ht="12.75" customHeight="1">
      <c r="A98" s="183"/>
      <c r="B98" s="73" t="s">
        <v>185</v>
      </c>
      <c r="C98" s="33">
        <v>68</v>
      </c>
      <c r="D98" s="33">
        <v>2008</v>
      </c>
      <c r="E98" s="74">
        <v>12.866</v>
      </c>
      <c r="F98" s="74">
        <v>3.621</v>
      </c>
      <c r="G98" s="74">
        <v>3.541</v>
      </c>
      <c r="H98" s="74">
        <v>5.704</v>
      </c>
      <c r="I98" s="75">
        <v>3892.42</v>
      </c>
      <c r="J98" s="74">
        <v>5.704</v>
      </c>
      <c r="K98" s="75">
        <v>3892.42</v>
      </c>
      <c r="L98" s="48">
        <f>J98/K98</f>
        <v>0.0014654122628082271</v>
      </c>
      <c r="M98" s="45">
        <v>267.81</v>
      </c>
      <c r="N98" s="45">
        <f>L98*M98</f>
        <v>0.3924520581026713</v>
      </c>
      <c r="O98" s="45">
        <f>L98*60*1000</f>
        <v>87.92473576849363</v>
      </c>
      <c r="P98" s="45">
        <f>O98*M98/1000</f>
        <v>23.547123486160277</v>
      </c>
      <c r="R98" s="10"/>
      <c r="S98" s="10"/>
    </row>
    <row r="99" spans="1:22" s="9" customFormat="1" ht="12.75">
      <c r="A99" s="183"/>
      <c r="B99" s="101" t="s">
        <v>229</v>
      </c>
      <c r="C99" s="102">
        <v>5</v>
      </c>
      <c r="D99" s="33">
        <v>1964</v>
      </c>
      <c r="E99" s="74">
        <f>+F99+G99+H99</f>
        <v>0.4719</v>
      </c>
      <c r="F99" s="103">
        <v>0.10732</v>
      </c>
      <c r="G99" s="103">
        <v>0</v>
      </c>
      <c r="H99" s="103">
        <v>0.36458</v>
      </c>
      <c r="I99" s="104">
        <v>245.91</v>
      </c>
      <c r="J99" s="103">
        <v>0.36458</v>
      </c>
      <c r="K99" s="104">
        <v>245.91</v>
      </c>
      <c r="L99" s="48">
        <f>+J99/K99</f>
        <v>0.0014825749257858568</v>
      </c>
      <c r="M99" s="45">
        <v>312.83</v>
      </c>
      <c r="N99" s="45">
        <f>+L99*M99</f>
        <v>0.46379391403358955</v>
      </c>
      <c r="O99" s="45">
        <f>+L99*60*1000</f>
        <v>88.9544955471514</v>
      </c>
      <c r="P99" s="45">
        <f>+N99*60</f>
        <v>27.827634842015375</v>
      </c>
      <c r="Q99" s="10"/>
      <c r="R99" s="10"/>
      <c r="S99" s="10"/>
      <c r="T99" s="12"/>
      <c r="U99" s="13"/>
      <c r="V99" s="13"/>
    </row>
    <row r="100" spans="1:19" s="9" customFormat="1" ht="12.75">
      <c r="A100" s="183"/>
      <c r="B100" s="73" t="s">
        <v>620</v>
      </c>
      <c r="C100" s="33">
        <v>40</v>
      </c>
      <c r="D100" s="33" t="s">
        <v>31</v>
      </c>
      <c r="E100" s="56">
        <f>F100+G100+H100</f>
        <v>15.000000000000002</v>
      </c>
      <c r="F100" s="56">
        <v>5.2</v>
      </c>
      <c r="G100" s="56">
        <v>6.4</v>
      </c>
      <c r="H100" s="56">
        <v>3.4</v>
      </c>
      <c r="I100" s="75">
        <v>2287.45</v>
      </c>
      <c r="J100" s="56">
        <v>3.4</v>
      </c>
      <c r="K100" s="75">
        <v>2287.45</v>
      </c>
      <c r="L100" s="142">
        <f>J100/K100</f>
        <v>0.0014863712868040833</v>
      </c>
      <c r="M100" s="55">
        <v>209.8</v>
      </c>
      <c r="N100" s="141">
        <f>L100*M100</f>
        <v>0.3118406959714967</v>
      </c>
      <c r="O100" s="141">
        <f aca="true" t="shared" si="19" ref="O100:O110">L100*60*1000</f>
        <v>89.182277208245</v>
      </c>
      <c r="P100" s="141">
        <f aca="true" t="shared" si="20" ref="P100:P105">O100*M100/1000</f>
        <v>18.710441758289804</v>
      </c>
      <c r="R100" s="10"/>
      <c r="S100" s="10"/>
    </row>
    <row r="101" spans="1:19" s="9" customFormat="1" ht="12.75">
      <c r="A101" s="183"/>
      <c r="B101" s="121" t="s">
        <v>292</v>
      </c>
      <c r="C101" s="59">
        <v>25</v>
      </c>
      <c r="D101" s="59">
        <v>1978</v>
      </c>
      <c r="E101" s="56">
        <v>5.443</v>
      </c>
      <c r="F101" s="56">
        <v>2.5245</v>
      </c>
      <c r="G101" s="56">
        <v>1</v>
      </c>
      <c r="H101" s="56">
        <v>1.9185</v>
      </c>
      <c r="I101" s="143">
        <v>1284.25</v>
      </c>
      <c r="J101" s="56">
        <v>1.9185</v>
      </c>
      <c r="K101" s="143">
        <v>1284.25</v>
      </c>
      <c r="L101" s="140">
        <v>0.001493</v>
      </c>
      <c r="M101" s="55">
        <v>281.7</v>
      </c>
      <c r="N101" s="141">
        <f>L101*M101*1.09</f>
        <v>0.45843012899999996</v>
      </c>
      <c r="O101" s="141">
        <f t="shared" si="19"/>
        <v>89.58</v>
      </c>
      <c r="P101" s="141">
        <f t="shared" si="20"/>
        <v>25.234685999999996</v>
      </c>
      <c r="R101" s="10"/>
      <c r="S101" s="10"/>
    </row>
    <row r="102" spans="1:19" s="9" customFormat="1" ht="12.75">
      <c r="A102" s="183"/>
      <c r="B102" s="73" t="s">
        <v>423</v>
      </c>
      <c r="C102" s="33">
        <v>12</v>
      </c>
      <c r="D102" s="33">
        <v>1986</v>
      </c>
      <c r="E102" s="74">
        <f>SUM(F102:H102)</f>
        <v>6.6</v>
      </c>
      <c r="F102" s="74">
        <v>3.59589</v>
      </c>
      <c r="G102" s="74">
        <v>1.945</v>
      </c>
      <c r="H102" s="74">
        <v>1.05911</v>
      </c>
      <c r="I102" s="75">
        <v>706.88</v>
      </c>
      <c r="J102" s="74">
        <v>1.05911</v>
      </c>
      <c r="K102" s="75">
        <v>706.88</v>
      </c>
      <c r="L102" s="48">
        <f aca="true" t="shared" si="21" ref="L102:L109">J102/K102</f>
        <v>0.0014982882526029878</v>
      </c>
      <c r="M102" s="45">
        <v>316.536</v>
      </c>
      <c r="N102" s="45">
        <f aca="true" t="shared" si="22" ref="N102:N109">L102*M102</f>
        <v>0.4742621703259393</v>
      </c>
      <c r="O102" s="45">
        <f t="shared" si="19"/>
        <v>89.89729515617927</v>
      </c>
      <c r="P102" s="45">
        <f t="shared" si="20"/>
        <v>28.45573021955636</v>
      </c>
      <c r="R102" s="10"/>
      <c r="S102" s="10"/>
    </row>
    <row r="103" spans="1:16" s="9" customFormat="1" ht="12.75" customHeight="1">
      <c r="A103" s="183"/>
      <c r="B103" s="121" t="s">
        <v>456</v>
      </c>
      <c r="C103" s="59">
        <v>20</v>
      </c>
      <c r="D103" s="59">
        <v>1975</v>
      </c>
      <c r="E103" s="56">
        <v>6.512</v>
      </c>
      <c r="F103" s="56">
        <v>1.581</v>
      </c>
      <c r="G103" s="56">
        <v>3.2</v>
      </c>
      <c r="H103" s="56">
        <v>1.731</v>
      </c>
      <c r="I103" s="143">
        <v>1147.92</v>
      </c>
      <c r="J103" s="56">
        <v>1.73</v>
      </c>
      <c r="K103" s="143">
        <v>1147.92</v>
      </c>
      <c r="L103" s="142">
        <f t="shared" si="21"/>
        <v>0.001507073663669942</v>
      </c>
      <c r="M103" s="55">
        <v>329.943</v>
      </c>
      <c r="N103" s="141">
        <f t="shared" si="22"/>
        <v>0.49724840581225166</v>
      </c>
      <c r="O103" s="141">
        <f t="shared" si="19"/>
        <v>90.42441982019652</v>
      </c>
      <c r="P103" s="141">
        <f t="shared" si="20"/>
        <v>29.834904348735098</v>
      </c>
    </row>
    <row r="104" spans="1:19" s="9" customFormat="1" ht="12.75">
      <c r="A104" s="183"/>
      <c r="B104" s="92" t="s">
        <v>164</v>
      </c>
      <c r="C104" s="93">
        <v>60</v>
      </c>
      <c r="D104" s="33" t="s">
        <v>31</v>
      </c>
      <c r="E104" s="94">
        <v>18.29</v>
      </c>
      <c r="F104" s="94">
        <v>4.45</v>
      </c>
      <c r="G104" s="94">
        <v>9.6</v>
      </c>
      <c r="H104" s="94">
        <v>4.24</v>
      </c>
      <c r="I104" s="93">
        <v>2723.9</v>
      </c>
      <c r="J104" s="94">
        <v>4.24</v>
      </c>
      <c r="K104" s="93">
        <v>2723.9</v>
      </c>
      <c r="L104" s="48">
        <f t="shared" si="21"/>
        <v>0.001556591651675906</v>
      </c>
      <c r="M104" s="45">
        <v>256</v>
      </c>
      <c r="N104" s="45">
        <f t="shared" si="22"/>
        <v>0.3984874628290319</v>
      </c>
      <c r="O104" s="45">
        <f t="shared" si="19"/>
        <v>93.39549910055435</v>
      </c>
      <c r="P104" s="45">
        <f t="shared" si="20"/>
        <v>23.909247769741913</v>
      </c>
      <c r="R104" s="10"/>
      <c r="S104" s="10"/>
    </row>
    <row r="105" spans="1:19" s="9" customFormat="1" ht="12.75" customHeight="1">
      <c r="A105" s="183"/>
      <c r="B105" s="73" t="s">
        <v>770</v>
      </c>
      <c r="C105" s="33">
        <v>8</v>
      </c>
      <c r="D105" s="33" t="s">
        <v>534</v>
      </c>
      <c r="E105" s="74">
        <f>+F105+G105+H105</f>
        <v>0.737</v>
      </c>
      <c r="F105" s="74">
        <v>0</v>
      </c>
      <c r="G105" s="74">
        <v>0</v>
      </c>
      <c r="H105" s="74">
        <v>0.737</v>
      </c>
      <c r="I105" s="75">
        <v>470.51</v>
      </c>
      <c r="J105" s="74">
        <v>0.737</v>
      </c>
      <c r="K105" s="75">
        <v>470.51</v>
      </c>
      <c r="L105" s="48">
        <f t="shared" si="21"/>
        <v>0.0015663854115746743</v>
      </c>
      <c r="M105" s="45">
        <v>276.9</v>
      </c>
      <c r="N105" s="45">
        <f t="shared" si="22"/>
        <v>0.4337321204650273</v>
      </c>
      <c r="O105" s="45">
        <f t="shared" si="19"/>
        <v>93.98312469448047</v>
      </c>
      <c r="P105" s="45">
        <f t="shared" si="20"/>
        <v>26.02392722790164</v>
      </c>
      <c r="R105" s="10"/>
      <c r="S105" s="10"/>
    </row>
    <row r="106" spans="1:19" s="9" customFormat="1" ht="12.75">
      <c r="A106" s="183"/>
      <c r="B106" s="73" t="s">
        <v>40</v>
      </c>
      <c r="C106" s="33">
        <v>56</v>
      </c>
      <c r="D106" s="33">
        <v>2008</v>
      </c>
      <c r="E106" s="74">
        <v>18.883</v>
      </c>
      <c r="F106" s="74">
        <v>9.513706</v>
      </c>
      <c r="G106" s="74">
        <v>4.48</v>
      </c>
      <c r="H106" s="74">
        <v>4.889293</v>
      </c>
      <c r="I106" s="75">
        <v>3105.9</v>
      </c>
      <c r="J106" s="74">
        <f>H106</f>
        <v>4.889293</v>
      </c>
      <c r="K106" s="75">
        <v>3105.9</v>
      </c>
      <c r="L106" s="48">
        <f t="shared" si="21"/>
        <v>0.0015741952413149169</v>
      </c>
      <c r="M106" s="45">
        <v>307.38</v>
      </c>
      <c r="N106" s="45">
        <f t="shared" si="22"/>
        <v>0.48387613327537915</v>
      </c>
      <c r="O106" s="45">
        <f t="shared" si="19"/>
        <v>94.45171447889501</v>
      </c>
      <c r="P106" s="45">
        <f>N106*60</f>
        <v>29.03256799652275</v>
      </c>
      <c r="R106" s="10"/>
      <c r="S106" s="10"/>
    </row>
    <row r="107" spans="1:19" s="9" customFormat="1" ht="12.75">
      <c r="A107" s="183"/>
      <c r="B107" s="121" t="s">
        <v>846</v>
      </c>
      <c r="C107" s="33">
        <v>19</v>
      </c>
      <c r="D107" s="33" t="s">
        <v>31</v>
      </c>
      <c r="E107" s="74">
        <v>6</v>
      </c>
      <c r="F107" s="74">
        <f>35*0.051</f>
        <v>1.785</v>
      </c>
      <c r="G107" s="74">
        <f>19*0.16</f>
        <v>3.04</v>
      </c>
      <c r="H107" s="74">
        <f>+E107-F107-G107</f>
        <v>1.1749999999999998</v>
      </c>
      <c r="I107" s="44"/>
      <c r="J107" s="74">
        <f>+H107</f>
        <v>1.1749999999999998</v>
      </c>
      <c r="K107" s="75">
        <v>741.77</v>
      </c>
      <c r="L107" s="48">
        <f t="shared" si="21"/>
        <v>0.001584048963964571</v>
      </c>
      <c r="M107" s="45">
        <v>347.8</v>
      </c>
      <c r="N107" s="45">
        <f t="shared" si="22"/>
        <v>0.5509322296668778</v>
      </c>
      <c r="O107" s="45">
        <f t="shared" si="19"/>
        <v>95.04293783787425</v>
      </c>
      <c r="P107" s="45">
        <f>O107*M107/1000</f>
        <v>33.055933780012666</v>
      </c>
      <c r="R107" s="10"/>
      <c r="S107" s="10"/>
    </row>
    <row r="108" spans="1:19" s="9" customFormat="1" ht="12.75" customHeight="1">
      <c r="A108" s="183"/>
      <c r="B108" s="121" t="s">
        <v>847</v>
      </c>
      <c r="C108" s="59">
        <v>20</v>
      </c>
      <c r="D108" s="59" t="s">
        <v>31</v>
      </c>
      <c r="E108" s="74">
        <v>6.885</v>
      </c>
      <c r="F108" s="74">
        <f>32*0.051</f>
        <v>1.632</v>
      </c>
      <c r="G108" s="74">
        <f>20*0.16</f>
        <v>3.2</v>
      </c>
      <c r="H108" s="74">
        <f>+E108-F108-G108</f>
        <v>2.053</v>
      </c>
      <c r="I108" s="44"/>
      <c r="J108" s="74">
        <f>+H108</f>
        <v>2.053</v>
      </c>
      <c r="K108" s="75">
        <v>1276.41</v>
      </c>
      <c r="L108" s="48">
        <f t="shared" si="21"/>
        <v>0.0016084173580589308</v>
      </c>
      <c r="M108" s="45">
        <v>347.8</v>
      </c>
      <c r="N108" s="45">
        <f t="shared" si="22"/>
        <v>0.5594075571328961</v>
      </c>
      <c r="O108" s="45">
        <f t="shared" si="19"/>
        <v>96.50504148353585</v>
      </c>
      <c r="P108" s="45">
        <f>O108*M108/1000</f>
        <v>33.564453427973774</v>
      </c>
      <c r="R108" s="10"/>
      <c r="S108" s="10"/>
    </row>
    <row r="109" spans="1:19" s="9" customFormat="1" ht="12.75" customHeight="1">
      <c r="A109" s="183"/>
      <c r="B109" s="121" t="s">
        <v>457</v>
      </c>
      <c r="C109" s="59">
        <v>57</v>
      </c>
      <c r="D109" s="59">
        <v>2007</v>
      </c>
      <c r="E109" s="56">
        <v>7.421</v>
      </c>
      <c r="F109" s="56">
        <v>2.476611</v>
      </c>
      <c r="G109" s="56">
        <v>0.725389</v>
      </c>
      <c r="H109" s="56">
        <v>4.219</v>
      </c>
      <c r="I109" s="143">
        <v>4052.24</v>
      </c>
      <c r="J109" s="56">
        <v>4.22</v>
      </c>
      <c r="K109" s="143">
        <v>2623.01</v>
      </c>
      <c r="L109" s="142">
        <f t="shared" si="21"/>
        <v>0.001608838700576818</v>
      </c>
      <c r="M109" s="55">
        <v>334.412</v>
      </c>
      <c r="N109" s="141">
        <f t="shared" si="22"/>
        <v>0.5380149675372948</v>
      </c>
      <c r="O109" s="141">
        <f t="shared" si="19"/>
        <v>96.53032203460909</v>
      </c>
      <c r="P109" s="141">
        <f>O109*M109/1000</f>
        <v>32.28089805223769</v>
      </c>
      <c r="R109" s="10"/>
      <c r="S109" s="10"/>
    </row>
    <row r="110" spans="1:19" s="9" customFormat="1" ht="12.75" customHeight="1">
      <c r="A110" s="183"/>
      <c r="B110" s="121" t="s">
        <v>293</v>
      </c>
      <c r="C110" s="59">
        <v>54</v>
      </c>
      <c r="D110" s="59">
        <v>2008</v>
      </c>
      <c r="E110" s="56">
        <v>11.066</v>
      </c>
      <c r="F110" s="56">
        <v>4.7</v>
      </c>
      <c r="G110" s="56">
        <v>0.154</v>
      </c>
      <c r="H110" s="56">
        <v>12.338</v>
      </c>
      <c r="I110" s="143">
        <v>3786.21</v>
      </c>
      <c r="J110" s="56">
        <v>3.075</v>
      </c>
      <c r="K110" s="143">
        <v>2030.27</v>
      </c>
      <c r="L110" s="140">
        <v>0.0016293</v>
      </c>
      <c r="M110" s="55">
        <v>281.7</v>
      </c>
      <c r="N110" s="141">
        <f>L110*M110*1.09</f>
        <v>0.5002814529</v>
      </c>
      <c r="O110" s="141">
        <f t="shared" si="19"/>
        <v>97.758</v>
      </c>
      <c r="P110" s="141">
        <f>O110*M110/1000</f>
        <v>27.5384286</v>
      </c>
      <c r="R110" s="10"/>
      <c r="S110" s="10"/>
    </row>
    <row r="111" spans="1:19" s="9" customFormat="1" ht="12.75" customHeight="1">
      <c r="A111" s="183"/>
      <c r="B111" s="73" t="s">
        <v>577</v>
      </c>
      <c r="C111" s="33">
        <v>30</v>
      </c>
      <c r="D111" s="33">
        <v>2007</v>
      </c>
      <c r="E111" s="74">
        <v>8.6</v>
      </c>
      <c r="F111" s="74">
        <v>3.8549</v>
      </c>
      <c r="G111" s="74">
        <v>2.4</v>
      </c>
      <c r="H111" s="74">
        <f>E111-F111-G111</f>
        <v>2.345099999999999</v>
      </c>
      <c r="I111" s="75">
        <v>1423.9</v>
      </c>
      <c r="J111" s="74">
        <v>2.3451</v>
      </c>
      <c r="K111" s="75">
        <v>1423.9</v>
      </c>
      <c r="L111" s="48">
        <f>J111/K111</f>
        <v>0.001646955544630943</v>
      </c>
      <c r="M111" s="45">
        <v>243.179</v>
      </c>
      <c r="N111" s="45">
        <f>L111*M111</f>
        <v>0.4005050023878081</v>
      </c>
      <c r="O111" s="45">
        <f>L111*1000*60</f>
        <v>98.8173326778566</v>
      </c>
      <c r="P111" s="45">
        <f>N111*60</f>
        <v>24.030300143268487</v>
      </c>
      <c r="Q111" s="11"/>
      <c r="R111" s="10"/>
      <c r="S111" s="10"/>
    </row>
    <row r="112" spans="1:19" s="9" customFormat="1" ht="12.75" customHeight="1">
      <c r="A112" s="183"/>
      <c r="B112" s="73" t="s">
        <v>79</v>
      </c>
      <c r="C112" s="33">
        <v>18</v>
      </c>
      <c r="D112" s="33">
        <v>2006</v>
      </c>
      <c r="E112" s="74">
        <v>6.52</v>
      </c>
      <c r="F112" s="74">
        <v>2.56</v>
      </c>
      <c r="G112" s="74">
        <v>0.58</v>
      </c>
      <c r="H112" s="74">
        <f>E112-F112-G112</f>
        <v>3.3799999999999994</v>
      </c>
      <c r="I112" s="75">
        <v>1988.3</v>
      </c>
      <c r="J112" s="74">
        <f>H112/I112*K112</f>
        <v>2.5737162400040234</v>
      </c>
      <c r="K112" s="33">
        <v>1514</v>
      </c>
      <c r="L112" s="48">
        <f>J112/K112</f>
        <v>0.0016999446763566865</v>
      </c>
      <c r="M112" s="45">
        <v>332.56</v>
      </c>
      <c r="N112" s="45">
        <f>L112*M112</f>
        <v>0.5653336015691797</v>
      </c>
      <c r="O112" s="45">
        <f>L112*60*1000</f>
        <v>101.99668058140118</v>
      </c>
      <c r="P112" s="45">
        <f>O112*M112/1000</f>
        <v>33.92001609415078</v>
      </c>
      <c r="R112" s="10"/>
      <c r="S112" s="10"/>
    </row>
    <row r="113" spans="1:19" s="9" customFormat="1" ht="12.75" customHeight="1">
      <c r="A113" s="183"/>
      <c r="B113" s="73" t="s">
        <v>123</v>
      </c>
      <c r="C113" s="33">
        <v>40</v>
      </c>
      <c r="D113" s="33">
        <v>1994</v>
      </c>
      <c r="E113" s="74">
        <v>19.546</v>
      </c>
      <c r="F113" s="74">
        <v>9.835</v>
      </c>
      <c r="G113" s="74">
        <v>5.6</v>
      </c>
      <c r="H113" s="74">
        <f>E113-F113-G113</f>
        <v>4.110999999999999</v>
      </c>
      <c r="I113" s="75">
        <v>2417.41</v>
      </c>
      <c r="J113" s="74">
        <f>H113</f>
        <v>4.110999999999999</v>
      </c>
      <c r="K113" s="75">
        <f>I113</f>
        <v>2417.41</v>
      </c>
      <c r="L113" s="48">
        <f>J113/K113</f>
        <v>0.0017005803732093436</v>
      </c>
      <c r="M113" s="45">
        <v>288.2</v>
      </c>
      <c r="N113" s="45">
        <f>L113*M113</f>
        <v>0.4901072635589328</v>
      </c>
      <c r="O113" s="45">
        <f>L113*60*1000</f>
        <v>102.03482239256061</v>
      </c>
      <c r="P113" s="45">
        <f>O113*M113/1000</f>
        <v>29.406435813535968</v>
      </c>
      <c r="R113" s="10"/>
      <c r="S113" s="10"/>
    </row>
    <row r="114" spans="1:19" s="9" customFormat="1" ht="13.5" customHeight="1">
      <c r="A114" s="183"/>
      <c r="B114" s="73" t="s">
        <v>535</v>
      </c>
      <c r="C114" s="33">
        <v>20</v>
      </c>
      <c r="D114" s="33" t="s">
        <v>31</v>
      </c>
      <c r="E114" s="74">
        <f>F114+G114+H114</f>
        <v>7</v>
      </c>
      <c r="F114" s="74">
        <v>2.0269</v>
      </c>
      <c r="G114" s="74">
        <v>3.2</v>
      </c>
      <c r="H114" s="74">
        <v>1.7731</v>
      </c>
      <c r="I114" s="75">
        <v>1035.75</v>
      </c>
      <c r="J114" s="74">
        <v>1.7731</v>
      </c>
      <c r="K114" s="75">
        <v>1035.75</v>
      </c>
      <c r="L114" s="48">
        <f>J114/K114</f>
        <v>0.0017118995896693216</v>
      </c>
      <c r="M114" s="45">
        <v>206.4</v>
      </c>
      <c r="N114" s="45">
        <f>L114*M114</f>
        <v>0.353336075307748</v>
      </c>
      <c r="O114" s="45">
        <f>L114*1000*60</f>
        <v>102.7139753801593</v>
      </c>
      <c r="P114" s="45">
        <f>N114*60</f>
        <v>21.20016451846488</v>
      </c>
      <c r="R114" s="10"/>
      <c r="S114" s="10"/>
    </row>
    <row r="115" spans="1:19" s="9" customFormat="1" ht="12.75" customHeight="1">
      <c r="A115" s="183"/>
      <c r="B115" s="73" t="s">
        <v>765</v>
      </c>
      <c r="C115" s="33">
        <v>23</v>
      </c>
      <c r="D115" s="33">
        <v>2009</v>
      </c>
      <c r="E115" s="74">
        <f>F115+G115+H115</f>
        <v>5.694</v>
      </c>
      <c r="F115" s="74">
        <v>1.945</v>
      </c>
      <c r="G115" s="74">
        <v>1.84</v>
      </c>
      <c r="H115" s="74">
        <v>1.909</v>
      </c>
      <c r="I115" s="75">
        <v>1098.31</v>
      </c>
      <c r="J115" s="74">
        <v>1.909</v>
      </c>
      <c r="K115" s="75">
        <v>1098.31</v>
      </c>
      <c r="L115" s="48">
        <f>J115/K115</f>
        <v>0.0017381249374038297</v>
      </c>
      <c r="M115" s="45">
        <v>361.99</v>
      </c>
      <c r="N115" s="45">
        <f>L115*M115</f>
        <v>0.6291838460908123</v>
      </c>
      <c r="O115" s="45">
        <f>L115*60*1000</f>
        <v>104.28749624422979</v>
      </c>
      <c r="P115" s="45">
        <f>O115*M115/1000</f>
        <v>37.75103076544874</v>
      </c>
      <c r="R115" s="10"/>
      <c r="S115" s="10"/>
    </row>
    <row r="116" spans="1:19" s="9" customFormat="1" ht="12.75" customHeight="1">
      <c r="A116" s="183"/>
      <c r="B116" s="121" t="s">
        <v>294</v>
      </c>
      <c r="C116" s="59">
        <v>54</v>
      </c>
      <c r="D116" s="59">
        <v>1992</v>
      </c>
      <c r="E116" s="56">
        <v>19.431973</v>
      </c>
      <c r="F116" s="56">
        <v>6.139431</v>
      </c>
      <c r="G116" s="56">
        <v>8.64</v>
      </c>
      <c r="H116" s="56">
        <v>4.652569</v>
      </c>
      <c r="I116" s="143">
        <v>2632.94</v>
      </c>
      <c r="J116" s="56">
        <v>4.652569</v>
      </c>
      <c r="K116" s="143">
        <v>2632.94</v>
      </c>
      <c r="L116" s="140">
        <v>0.001767</v>
      </c>
      <c r="M116" s="55">
        <v>281.7</v>
      </c>
      <c r="N116" s="141">
        <f>L116*M116*1.09</f>
        <v>0.542562651</v>
      </c>
      <c r="O116" s="141">
        <f>L116*60*1000</f>
        <v>106.02</v>
      </c>
      <c r="P116" s="141">
        <f>M116*O116/1000</f>
        <v>29.865834</v>
      </c>
      <c r="R116" s="10"/>
      <c r="S116" s="10"/>
    </row>
    <row r="117" spans="1:19" s="9" customFormat="1" ht="12.75" customHeight="1">
      <c r="A117" s="183"/>
      <c r="B117" s="73" t="s">
        <v>783</v>
      </c>
      <c r="C117" s="33">
        <v>10</v>
      </c>
      <c r="D117" s="33" t="s">
        <v>31</v>
      </c>
      <c r="E117" s="74">
        <v>2.929</v>
      </c>
      <c r="F117" s="74">
        <v>2.152</v>
      </c>
      <c r="G117" s="74">
        <v>0.1</v>
      </c>
      <c r="H117" s="74">
        <v>0.676</v>
      </c>
      <c r="I117" s="44" t="s">
        <v>782</v>
      </c>
      <c r="J117" s="74">
        <v>0.676</v>
      </c>
      <c r="K117" s="75">
        <v>381.36</v>
      </c>
      <c r="L117" s="48">
        <f>J117/K117</f>
        <v>0.0017726033144535348</v>
      </c>
      <c r="M117" s="45">
        <v>354.25</v>
      </c>
      <c r="N117" s="45">
        <f>L117*M117</f>
        <v>0.6279447241451647</v>
      </c>
      <c r="O117" s="45">
        <f>L117*60*1000</f>
        <v>106.35619886721209</v>
      </c>
      <c r="P117" s="45">
        <f>O117*M117/1000</f>
        <v>37.67668344870988</v>
      </c>
      <c r="Q117" s="11"/>
      <c r="R117" s="10"/>
      <c r="S117" s="10"/>
    </row>
    <row r="118" spans="1:19" s="9" customFormat="1" ht="12.75" customHeight="1">
      <c r="A118" s="183"/>
      <c r="B118" s="101" t="s">
        <v>230</v>
      </c>
      <c r="C118" s="102">
        <v>30</v>
      </c>
      <c r="D118" s="33">
        <v>2007</v>
      </c>
      <c r="E118" s="74">
        <f>+F118+G118+H118</f>
        <v>10.453000999999999</v>
      </c>
      <c r="F118" s="103">
        <v>2.46836</v>
      </c>
      <c r="G118" s="103">
        <v>4.8</v>
      </c>
      <c r="H118" s="103">
        <v>3.1846409999999996</v>
      </c>
      <c r="I118" s="104">
        <v>1794.8700000000001</v>
      </c>
      <c r="J118" s="103">
        <v>3.1846409999999996</v>
      </c>
      <c r="K118" s="104">
        <v>1794.8700000000001</v>
      </c>
      <c r="L118" s="48">
        <f>+J118/K118</f>
        <v>0.0017743017600160454</v>
      </c>
      <c r="M118" s="45">
        <v>312.83</v>
      </c>
      <c r="N118" s="45">
        <f>+L118*M118</f>
        <v>0.5550548195858195</v>
      </c>
      <c r="O118" s="45">
        <f>+L118*60*1000</f>
        <v>106.45810560096272</v>
      </c>
      <c r="P118" s="45">
        <f>+N118*60</f>
        <v>33.30328917514917</v>
      </c>
      <c r="R118" s="10"/>
      <c r="S118" s="10"/>
    </row>
    <row r="119" spans="1:19" s="9" customFormat="1" ht="12.75" customHeight="1">
      <c r="A119" s="183"/>
      <c r="B119" s="73" t="s">
        <v>848</v>
      </c>
      <c r="C119" s="33">
        <v>45</v>
      </c>
      <c r="D119" s="33" t="s">
        <v>31</v>
      </c>
      <c r="E119" s="74">
        <v>14.091</v>
      </c>
      <c r="F119" s="74">
        <f>51*0.051</f>
        <v>2.601</v>
      </c>
      <c r="G119" s="74">
        <f>45*0.16</f>
        <v>7.2</v>
      </c>
      <c r="H119" s="74">
        <f>+E119-F119-G119</f>
        <v>4.289999999999998</v>
      </c>
      <c r="I119" s="44"/>
      <c r="J119" s="74">
        <f>+H119</f>
        <v>4.289999999999998</v>
      </c>
      <c r="K119" s="75">
        <v>2347.81</v>
      </c>
      <c r="L119" s="48">
        <f>J119/K119</f>
        <v>0.0018272347421639734</v>
      </c>
      <c r="M119" s="45">
        <v>347.8</v>
      </c>
      <c r="N119" s="45">
        <f>L119*M119</f>
        <v>0.63551224332463</v>
      </c>
      <c r="O119" s="45">
        <f aca="true" t="shared" si="23" ref="O119:O126">L119*60*1000</f>
        <v>109.6340845298384</v>
      </c>
      <c r="P119" s="45">
        <f>O119*M119/1000</f>
        <v>38.1307345994778</v>
      </c>
      <c r="R119" s="10"/>
      <c r="S119" s="10"/>
    </row>
    <row r="120" spans="1:19" s="9" customFormat="1" ht="12.75" customHeight="1">
      <c r="A120" s="183"/>
      <c r="B120" s="73" t="s">
        <v>80</v>
      </c>
      <c r="C120" s="33">
        <v>60</v>
      </c>
      <c r="D120" s="33">
        <v>1965</v>
      </c>
      <c r="E120" s="74">
        <v>20.96</v>
      </c>
      <c r="F120" s="74">
        <v>6.48</v>
      </c>
      <c r="G120" s="74">
        <v>9.52</v>
      </c>
      <c r="H120" s="74">
        <f>E120-F120-G120</f>
        <v>4.960000000000001</v>
      </c>
      <c r="I120" s="75">
        <v>2708.9</v>
      </c>
      <c r="J120" s="74">
        <f>H120/I120*K120</f>
        <v>4.960000000000001</v>
      </c>
      <c r="K120" s="75">
        <v>2708.9</v>
      </c>
      <c r="L120" s="48">
        <f>J120/K120</f>
        <v>0.0018310015135294773</v>
      </c>
      <c r="M120" s="45">
        <v>332.56</v>
      </c>
      <c r="N120" s="45">
        <f>L120*M120</f>
        <v>0.6089178633393629</v>
      </c>
      <c r="O120" s="45">
        <f t="shared" si="23"/>
        <v>109.86009081176863</v>
      </c>
      <c r="P120" s="45">
        <f>O120*M120/1000</f>
        <v>36.53507180036177</v>
      </c>
      <c r="R120" s="10"/>
      <c r="S120" s="10"/>
    </row>
    <row r="121" spans="1:16" s="9" customFormat="1" ht="12.75" customHeight="1">
      <c r="A121" s="183"/>
      <c r="B121" s="73" t="s">
        <v>768</v>
      </c>
      <c r="C121" s="33"/>
      <c r="D121" s="33" t="s">
        <v>534</v>
      </c>
      <c r="E121" s="74">
        <f>+F121+G121+H121</f>
        <v>14.2991</v>
      </c>
      <c r="F121" s="74">
        <v>3.24</v>
      </c>
      <c r="G121" s="74">
        <v>6.8</v>
      </c>
      <c r="H121" s="74">
        <v>4.2591</v>
      </c>
      <c r="I121" s="75">
        <v>2290.41</v>
      </c>
      <c r="J121" s="74">
        <v>4.2591</v>
      </c>
      <c r="K121" s="75">
        <v>2290.41</v>
      </c>
      <c r="L121" s="48">
        <f>J121/K121</f>
        <v>0.001859536065595243</v>
      </c>
      <c r="M121" s="45">
        <v>276.9</v>
      </c>
      <c r="N121" s="45">
        <f>L121*M121</f>
        <v>0.5149055365633227</v>
      </c>
      <c r="O121" s="45">
        <f t="shared" si="23"/>
        <v>111.57216393571457</v>
      </c>
      <c r="P121" s="45">
        <f>O121*M121/1000</f>
        <v>30.89433219379936</v>
      </c>
    </row>
    <row r="122" spans="1:19" s="9" customFormat="1" ht="12.75" customHeight="1">
      <c r="A122" s="183"/>
      <c r="B122" s="73" t="s">
        <v>81</v>
      </c>
      <c r="C122" s="33">
        <v>72</v>
      </c>
      <c r="D122" s="33">
        <v>2005</v>
      </c>
      <c r="E122" s="74">
        <v>26.18</v>
      </c>
      <c r="F122" s="74">
        <v>15.4</v>
      </c>
      <c r="G122" s="74">
        <v>0.83</v>
      </c>
      <c r="H122" s="74">
        <v>9.95</v>
      </c>
      <c r="I122" s="75">
        <v>5350</v>
      </c>
      <c r="J122" s="74">
        <f>H122/I122*K122</f>
        <v>9.95</v>
      </c>
      <c r="K122" s="33">
        <v>5350</v>
      </c>
      <c r="L122" s="48">
        <f>J122/K122</f>
        <v>0.0018598130841121494</v>
      </c>
      <c r="M122" s="45">
        <v>332.56</v>
      </c>
      <c r="N122" s="45">
        <f>L122*M122</f>
        <v>0.6184994392523364</v>
      </c>
      <c r="O122" s="45">
        <f t="shared" si="23"/>
        <v>111.58878504672896</v>
      </c>
      <c r="P122" s="45">
        <f>O122*M122/1000</f>
        <v>37.10996635514018</v>
      </c>
      <c r="R122" s="10"/>
      <c r="S122" s="10"/>
    </row>
    <row r="123" spans="1:19" s="9" customFormat="1" ht="12.75" customHeight="1">
      <c r="A123" s="183"/>
      <c r="B123" s="121" t="s">
        <v>295</v>
      </c>
      <c r="C123" s="59">
        <v>72</v>
      </c>
      <c r="D123" s="59">
        <v>1980</v>
      </c>
      <c r="E123" s="56">
        <v>26.998</v>
      </c>
      <c r="F123" s="56">
        <v>7.548</v>
      </c>
      <c r="G123" s="56">
        <v>11.52</v>
      </c>
      <c r="H123" s="56">
        <v>7.93</v>
      </c>
      <c r="I123" s="143">
        <v>4220</v>
      </c>
      <c r="J123" s="56">
        <v>7.93</v>
      </c>
      <c r="K123" s="143">
        <v>4220</v>
      </c>
      <c r="L123" s="140">
        <v>0.001879</v>
      </c>
      <c r="M123" s="55">
        <v>281.7</v>
      </c>
      <c r="N123" s="141">
        <f>L123*M123*1.09</f>
        <v>0.5769525870000001</v>
      </c>
      <c r="O123" s="141">
        <f t="shared" si="23"/>
        <v>112.74000000000001</v>
      </c>
      <c r="P123" s="141">
        <f>M123*O123/1000</f>
        <v>31.758858</v>
      </c>
      <c r="R123" s="10"/>
      <c r="S123" s="10"/>
    </row>
    <row r="124" spans="1:19" s="9" customFormat="1" ht="12.75" customHeight="1">
      <c r="A124" s="183"/>
      <c r="B124" s="73" t="s">
        <v>186</v>
      </c>
      <c r="C124" s="33">
        <v>51</v>
      </c>
      <c r="D124" s="33">
        <v>2007</v>
      </c>
      <c r="E124" s="74">
        <v>12.464</v>
      </c>
      <c r="F124" s="74">
        <v>6.477</v>
      </c>
      <c r="G124" s="74">
        <v>0.432</v>
      </c>
      <c r="H124" s="74">
        <v>5.555</v>
      </c>
      <c r="I124" s="75">
        <v>2943.57</v>
      </c>
      <c r="J124" s="74">
        <v>5.555</v>
      </c>
      <c r="K124" s="75">
        <v>2943.57</v>
      </c>
      <c r="L124" s="48">
        <f>J124/K124</f>
        <v>0.001887164225753082</v>
      </c>
      <c r="M124" s="45">
        <v>267.81</v>
      </c>
      <c r="N124" s="45">
        <f>L124*M124</f>
        <v>0.5054014512989329</v>
      </c>
      <c r="O124" s="45">
        <f t="shared" si="23"/>
        <v>113.22985354518492</v>
      </c>
      <c r="P124" s="45">
        <f>O124*M124/1000</f>
        <v>30.324087077935975</v>
      </c>
      <c r="R124" s="10"/>
      <c r="S124" s="10"/>
    </row>
    <row r="125" spans="1:19" s="9" customFormat="1" ht="13.5" customHeight="1">
      <c r="A125" s="183"/>
      <c r="B125" s="121" t="s">
        <v>296</v>
      </c>
      <c r="C125" s="59">
        <v>22</v>
      </c>
      <c r="D125" s="59">
        <v>1987</v>
      </c>
      <c r="E125" s="56">
        <v>8.672</v>
      </c>
      <c r="F125" s="56">
        <v>2.805</v>
      </c>
      <c r="G125" s="56">
        <v>3.52</v>
      </c>
      <c r="H125" s="56">
        <v>2.347</v>
      </c>
      <c r="I125" s="143">
        <v>1234.8</v>
      </c>
      <c r="J125" s="56">
        <v>2.347</v>
      </c>
      <c r="K125" s="143">
        <v>1234.8</v>
      </c>
      <c r="L125" s="140">
        <v>0.0019</v>
      </c>
      <c r="M125" s="55">
        <v>281.7</v>
      </c>
      <c r="N125" s="141">
        <f>L125*M125*1.09</f>
        <v>0.5834007</v>
      </c>
      <c r="O125" s="141">
        <f t="shared" si="23"/>
        <v>114</v>
      </c>
      <c r="P125" s="141">
        <f>M125*O125/1000</f>
        <v>32.1138</v>
      </c>
      <c r="R125" s="10"/>
      <c r="S125" s="10"/>
    </row>
    <row r="126" spans="1:16" s="9" customFormat="1" ht="12.75" customHeight="1">
      <c r="A126" s="183"/>
      <c r="B126" s="121" t="s">
        <v>458</v>
      </c>
      <c r="C126" s="59">
        <v>24</v>
      </c>
      <c r="D126" s="59">
        <v>2010</v>
      </c>
      <c r="E126" s="56">
        <v>4.2279</v>
      </c>
      <c r="F126" s="56">
        <v>0.357</v>
      </c>
      <c r="G126" s="56">
        <v>1.92</v>
      </c>
      <c r="H126" s="56">
        <v>1.9509</v>
      </c>
      <c r="I126" s="143">
        <v>1015.21</v>
      </c>
      <c r="J126" s="56">
        <v>1.95</v>
      </c>
      <c r="K126" s="143">
        <v>1015.21</v>
      </c>
      <c r="L126" s="142">
        <f aca="true" t="shared" si="24" ref="L126:L133">J126/K126</f>
        <v>0.0019207848622452496</v>
      </c>
      <c r="M126" s="55">
        <v>329.943</v>
      </c>
      <c r="N126" s="141">
        <f aca="true" t="shared" si="25" ref="N126:N133">L126*M126</f>
        <v>0.6337495198037844</v>
      </c>
      <c r="O126" s="141">
        <f t="shared" si="23"/>
        <v>115.24709173471499</v>
      </c>
      <c r="P126" s="141">
        <f>O126*M126/1000</f>
        <v>38.02497118822706</v>
      </c>
    </row>
    <row r="127" spans="1:19" s="9" customFormat="1" ht="12.75" customHeight="1">
      <c r="A127" s="183"/>
      <c r="B127" s="73" t="s">
        <v>536</v>
      </c>
      <c r="C127" s="33">
        <v>30</v>
      </c>
      <c r="D127" s="33" t="s">
        <v>31</v>
      </c>
      <c r="E127" s="74">
        <f>F127+G127+H127</f>
        <v>11</v>
      </c>
      <c r="F127" s="145">
        <v>2.9033</v>
      </c>
      <c r="G127" s="74">
        <v>4.8</v>
      </c>
      <c r="H127" s="74">
        <v>3.2967</v>
      </c>
      <c r="I127" s="75">
        <v>1712.83</v>
      </c>
      <c r="J127" s="74">
        <v>3.2967</v>
      </c>
      <c r="K127" s="75">
        <v>1712.83</v>
      </c>
      <c r="L127" s="48">
        <f t="shared" si="24"/>
        <v>0.001924709399064706</v>
      </c>
      <c r="M127" s="45">
        <v>206.4</v>
      </c>
      <c r="N127" s="45">
        <f t="shared" si="25"/>
        <v>0.3972600199669553</v>
      </c>
      <c r="O127" s="45">
        <f>L127*1000*60</f>
        <v>115.48256394388235</v>
      </c>
      <c r="P127" s="45">
        <f>N127*60</f>
        <v>23.83560119801732</v>
      </c>
      <c r="Q127" s="11"/>
      <c r="R127" s="10"/>
      <c r="S127" s="10"/>
    </row>
    <row r="128" spans="1:19" s="9" customFormat="1" ht="12.75" customHeight="1">
      <c r="A128" s="183"/>
      <c r="B128" s="73" t="s">
        <v>771</v>
      </c>
      <c r="C128" s="33">
        <v>8</v>
      </c>
      <c r="D128" s="33" t="s">
        <v>534</v>
      </c>
      <c r="E128" s="74">
        <f>+F128+G128+H128</f>
        <v>0.948</v>
      </c>
      <c r="F128" s="74">
        <v>0</v>
      </c>
      <c r="G128" s="74">
        <v>0</v>
      </c>
      <c r="H128" s="74">
        <v>0.948</v>
      </c>
      <c r="I128" s="75">
        <v>487.4</v>
      </c>
      <c r="J128" s="74">
        <v>0.948</v>
      </c>
      <c r="K128" s="75">
        <v>487.4</v>
      </c>
      <c r="L128" s="48">
        <f t="shared" si="24"/>
        <v>0.001945014361920394</v>
      </c>
      <c r="M128" s="45">
        <v>276.9</v>
      </c>
      <c r="N128" s="45">
        <f t="shared" si="25"/>
        <v>0.538574476815757</v>
      </c>
      <c r="O128" s="45">
        <f aca="true" t="shared" si="26" ref="O128:O135">L128*60*1000</f>
        <v>116.70086171522364</v>
      </c>
      <c r="P128" s="45">
        <f aca="true" t="shared" si="27" ref="P128:P133">O128*M128/1000</f>
        <v>32.314468608945425</v>
      </c>
      <c r="R128" s="10"/>
      <c r="S128" s="10"/>
    </row>
    <row r="129" spans="1:19" s="9" customFormat="1" ht="12.75" customHeight="1">
      <c r="A129" s="183"/>
      <c r="B129" s="73" t="s">
        <v>500</v>
      </c>
      <c r="C129" s="75">
        <v>22</v>
      </c>
      <c r="D129" s="33" t="s">
        <v>31</v>
      </c>
      <c r="E129" s="74">
        <f>F129+G129+H129</f>
        <v>7.69129</v>
      </c>
      <c r="F129" s="74">
        <v>1.938</v>
      </c>
      <c r="G129" s="74">
        <v>3.52</v>
      </c>
      <c r="H129" s="74">
        <v>2.23329</v>
      </c>
      <c r="I129" s="75">
        <v>1131.55</v>
      </c>
      <c r="J129" s="74">
        <v>2.23329</v>
      </c>
      <c r="K129" s="75">
        <v>1131.55</v>
      </c>
      <c r="L129" s="48">
        <f t="shared" si="24"/>
        <v>0.0019736556051433876</v>
      </c>
      <c r="M129" s="45">
        <v>221.4</v>
      </c>
      <c r="N129" s="45">
        <f t="shared" si="25"/>
        <v>0.436967350978746</v>
      </c>
      <c r="O129" s="45">
        <f t="shared" si="26"/>
        <v>118.41933630860325</v>
      </c>
      <c r="P129" s="45">
        <f t="shared" si="27"/>
        <v>26.21804105872476</v>
      </c>
      <c r="R129" s="10"/>
      <c r="S129" s="10"/>
    </row>
    <row r="130" spans="1:19" s="9" customFormat="1" ht="12.75" customHeight="1">
      <c r="A130" s="183"/>
      <c r="B130" s="73" t="s">
        <v>622</v>
      </c>
      <c r="C130" s="33">
        <v>20</v>
      </c>
      <c r="D130" s="33" t="s">
        <v>31</v>
      </c>
      <c r="E130" s="56">
        <f>F130+G130+H130</f>
        <v>7.5</v>
      </c>
      <c r="F130" s="56">
        <v>2.1</v>
      </c>
      <c r="G130" s="56">
        <v>3.3</v>
      </c>
      <c r="H130" s="56">
        <v>2.1</v>
      </c>
      <c r="I130" s="75">
        <v>1055.4</v>
      </c>
      <c r="J130" s="56">
        <v>2.1</v>
      </c>
      <c r="K130" s="75">
        <v>1055.4</v>
      </c>
      <c r="L130" s="142">
        <f t="shared" si="24"/>
        <v>0.0019897669130187604</v>
      </c>
      <c r="M130" s="55">
        <v>209.8</v>
      </c>
      <c r="N130" s="141">
        <f t="shared" si="25"/>
        <v>0.417453098351336</v>
      </c>
      <c r="O130" s="141">
        <f t="shared" si="26"/>
        <v>119.38601478112562</v>
      </c>
      <c r="P130" s="141">
        <f t="shared" si="27"/>
        <v>25.047185901080155</v>
      </c>
      <c r="R130" s="10"/>
      <c r="S130" s="10"/>
    </row>
    <row r="131" spans="1:19" s="9" customFormat="1" ht="12.75">
      <c r="A131" s="183"/>
      <c r="B131" s="121" t="s">
        <v>459</v>
      </c>
      <c r="C131" s="59">
        <v>12</v>
      </c>
      <c r="D131" s="59">
        <v>2007</v>
      </c>
      <c r="E131" s="56">
        <v>2.48</v>
      </c>
      <c r="F131" s="56">
        <v>0.255</v>
      </c>
      <c r="G131" s="56">
        <v>0.502</v>
      </c>
      <c r="H131" s="56">
        <v>1.723</v>
      </c>
      <c r="I131" s="143">
        <v>1168.64</v>
      </c>
      <c r="J131" s="56">
        <v>1.66</v>
      </c>
      <c r="K131" s="143">
        <v>833</v>
      </c>
      <c r="L131" s="142">
        <f t="shared" si="24"/>
        <v>0.0019927971188475387</v>
      </c>
      <c r="M131" s="55">
        <v>329.943</v>
      </c>
      <c r="N131" s="141">
        <f t="shared" si="25"/>
        <v>0.6575094597839134</v>
      </c>
      <c r="O131" s="141">
        <f t="shared" si="26"/>
        <v>119.56782713085232</v>
      </c>
      <c r="P131" s="141">
        <f t="shared" si="27"/>
        <v>39.450567587034804</v>
      </c>
      <c r="R131" s="10"/>
      <c r="S131" s="10"/>
    </row>
    <row r="132" spans="1:16" s="9" customFormat="1" ht="12.75" customHeight="1">
      <c r="A132" s="183"/>
      <c r="B132" s="73" t="s">
        <v>82</v>
      </c>
      <c r="C132" s="33">
        <v>38</v>
      </c>
      <c r="D132" s="33">
        <v>2004</v>
      </c>
      <c r="E132" s="74">
        <v>10.43</v>
      </c>
      <c r="F132" s="74">
        <v>5.15</v>
      </c>
      <c r="G132" s="74">
        <v>0.55</v>
      </c>
      <c r="H132" s="74">
        <f>E132-F132-G132</f>
        <v>4.7299999999999995</v>
      </c>
      <c r="I132" s="75">
        <v>2372</v>
      </c>
      <c r="J132" s="74">
        <f>H132/I132*K132</f>
        <v>4.73</v>
      </c>
      <c r="K132" s="33">
        <v>2372</v>
      </c>
      <c r="L132" s="48">
        <f t="shared" si="24"/>
        <v>0.001994097807757167</v>
      </c>
      <c r="M132" s="45">
        <v>332.56</v>
      </c>
      <c r="N132" s="45">
        <f t="shared" si="25"/>
        <v>0.6631571669477234</v>
      </c>
      <c r="O132" s="45">
        <f t="shared" si="26"/>
        <v>119.64586846543001</v>
      </c>
      <c r="P132" s="45">
        <f t="shared" si="27"/>
        <v>39.789430016863406</v>
      </c>
    </row>
    <row r="133" spans="1:19" s="9" customFormat="1" ht="12.75">
      <c r="A133" s="183"/>
      <c r="B133" s="73" t="s">
        <v>422</v>
      </c>
      <c r="C133" s="33">
        <v>50</v>
      </c>
      <c r="D133" s="33">
        <v>1992</v>
      </c>
      <c r="E133" s="74">
        <f>SUM(F133:H133)</f>
        <v>16.214</v>
      </c>
      <c r="F133" s="74">
        <v>3.420389</v>
      </c>
      <c r="G133" s="74">
        <v>7.84</v>
      </c>
      <c r="H133" s="74">
        <v>4.953611</v>
      </c>
      <c r="I133" s="75">
        <v>2469.68</v>
      </c>
      <c r="J133" s="74">
        <v>4.95</v>
      </c>
      <c r="K133" s="75">
        <v>2469.68</v>
      </c>
      <c r="L133" s="48">
        <f t="shared" si="24"/>
        <v>0.0020043082504615983</v>
      </c>
      <c r="M133" s="45">
        <v>316.536</v>
      </c>
      <c r="N133" s="45">
        <f t="shared" si="25"/>
        <v>0.6344357163681125</v>
      </c>
      <c r="O133" s="45">
        <f t="shared" si="26"/>
        <v>120.2584950276959</v>
      </c>
      <c r="P133" s="45">
        <f t="shared" si="27"/>
        <v>38.066142982086745</v>
      </c>
      <c r="R133" s="10"/>
      <c r="S133" s="10"/>
    </row>
    <row r="134" spans="1:19" s="9" customFormat="1" ht="12.75">
      <c r="A134" s="183"/>
      <c r="B134" s="121" t="s">
        <v>297</v>
      </c>
      <c r="C134" s="59">
        <v>104</v>
      </c>
      <c r="D134" s="59">
        <v>1965</v>
      </c>
      <c r="E134" s="56">
        <v>34.909996</v>
      </c>
      <c r="F134" s="56">
        <v>10.090452</v>
      </c>
      <c r="G134" s="56">
        <v>15.84</v>
      </c>
      <c r="H134" s="56">
        <v>8.979544</v>
      </c>
      <c r="I134" s="143">
        <v>4447.51</v>
      </c>
      <c r="J134" s="56">
        <v>8.979544</v>
      </c>
      <c r="K134" s="143">
        <v>4447.51</v>
      </c>
      <c r="L134" s="140">
        <v>0.002019</v>
      </c>
      <c r="M134" s="55">
        <v>281.7</v>
      </c>
      <c r="N134" s="141">
        <f>L134*M134*1.09</f>
        <v>0.6199400070000001</v>
      </c>
      <c r="O134" s="141">
        <f t="shared" si="26"/>
        <v>121.14</v>
      </c>
      <c r="P134" s="141">
        <f>M134*O134/1000</f>
        <v>34.125138</v>
      </c>
      <c r="R134" s="10"/>
      <c r="S134" s="10"/>
    </row>
    <row r="135" spans="1:19" s="9" customFormat="1" ht="12.75">
      <c r="A135" s="183"/>
      <c r="B135" s="121" t="s">
        <v>298</v>
      </c>
      <c r="C135" s="59">
        <v>56</v>
      </c>
      <c r="D135" s="59">
        <v>1991</v>
      </c>
      <c r="E135" s="56">
        <v>27.449977</v>
      </c>
      <c r="F135" s="56">
        <v>7.05993</v>
      </c>
      <c r="G135" s="56">
        <v>13.36</v>
      </c>
      <c r="H135" s="56">
        <v>7.03007</v>
      </c>
      <c r="I135" s="143">
        <v>3478.2</v>
      </c>
      <c r="J135" s="56">
        <v>6.710461</v>
      </c>
      <c r="K135" s="143">
        <v>3303.97</v>
      </c>
      <c r="L135" s="140">
        <v>0.002031</v>
      </c>
      <c r="M135" s="55">
        <v>281.7</v>
      </c>
      <c r="N135" s="141">
        <f>L135*M135*1.09</f>
        <v>0.623624643</v>
      </c>
      <c r="O135" s="141">
        <f t="shared" si="26"/>
        <v>121.86</v>
      </c>
      <c r="P135" s="141">
        <f>M135*O135/1000</f>
        <v>34.327962</v>
      </c>
      <c r="R135" s="10"/>
      <c r="S135" s="10"/>
    </row>
    <row r="136" spans="1:19" s="9" customFormat="1" ht="12.75">
      <c r="A136" s="183"/>
      <c r="B136" s="73" t="s">
        <v>578</v>
      </c>
      <c r="C136" s="33">
        <v>12</v>
      </c>
      <c r="D136" s="33">
        <v>1962</v>
      </c>
      <c r="E136" s="74">
        <v>3.8</v>
      </c>
      <c r="F136" s="74">
        <v>0.7909</v>
      </c>
      <c r="G136" s="74">
        <v>1.92</v>
      </c>
      <c r="H136" s="74">
        <f>E136-F136-G136</f>
        <v>1.0890999999999997</v>
      </c>
      <c r="I136" s="75">
        <v>533.7</v>
      </c>
      <c r="J136" s="74">
        <v>1.0891</v>
      </c>
      <c r="K136" s="75">
        <v>533.7</v>
      </c>
      <c r="L136" s="48">
        <f aca="true" t="shared" si="28" ref="L136:L143">J136/K136</f>
        <v>0.0020406595465617384</v>
      </c>
      <c r="M136" s="45">
        <v>243.179</v>
      </c>
      <c r="N136" s="45">
        <f aca="true" t="shared" si="29" ref="N136:N143">L136*M136</f>
        <v>0.49624554787333697</v>
      </c>
      <c r="O136" s="45">
        <f>L136*1000*60</f>
        <v>122.4395727937043</v>
      </c>
      <c r="P136" s="45">
        <f>N136*60</f>
        <v>29.774732872400218</v>
      </c>
      <c r="R136" s="10"/>
      <c r="S136" s="10"/>
    </row>
    <row r="137" spans="1:19" s="9" customFormat="1" ht="12.75" customHeight="1">
      <c r="A137" s="183"/>
      <c r="B137" s="73" t="s">
        <v>772</v>
      </c>
      <c r="C137" s="33">
        <v>16</v>
      </c>
      <c r="D137" s="33" t="s">
        <v>534</v>
      </c>
      <c r="E137" s="74">
        <f>+F137+G137+H137</f>
        <v>1.108001</v>
      </c>
      <c r="F137" s="74">
        <v>0</v>
      </c>
      <c r="G137" s="74">
        <v>0</v>
      </c>
      <c r="H137" s="74">
        <v>1.108001</v>
      </c>
      <c r="I137" s="75">
        <v>535.56</v>
      </c>
      <c r="J137" s="74">
        <v>1.108</v>
      </c>
      <c r="K137" s="75">
        <v>535.56</v>
      </c>
      <c r="L137" s="48">
        <f t="shared" si="28"/>
        <v>0.0020688624990663983</v>
      </c>
      <c r="M137" s="45">
        <v>276.9</v>
      </c>
      <c r="N137" s="45">
        <f t="shared" si="29"/>
        <v>0.5728680259914857</v>
      </c>
      <c r="O137" s="45">
        <f>L137*60*1000</f>
        <v>124.1317499439839</v>
      </c>
      <c r="P137" s="45">
        <f>O137*M137/1000</f>
        <v>34.37208155948914</v>
      </c>
      <c r="R137" s="10"/>
      <c r="S137" s="10"/>
    </row>
    <row r="138" spans="1:19" s="9" customFormat="1" ht="12.75" customHeight="1">
      <c r="A138" s="183"/>
      <c r="B138" s="73" t="s">
        <v>849</v>
      </c>
      <c r="C138" s="33">
        <v>8</v>
      </c>
      <c r="D138" s="33" t="s">
        <v>31</v>
      </c>
      <c r="E138" s="74">
        <v>2.893</v>
      </c>
      <c r="F138" s="74">
        <f>16.75*0.051</f>
        <v>0.85425</v>
      </c>
      <c r="G138" s="74">
        <f>8*0.16</f>
        <v>1.28</v>
      </c>
      <c r="H138" s="74">
        <f>+E138-F138-G138</f>
        <v>0.7587499999999998</v>
      </c>
      <c r="I138" s="44"/>
      <c r="J138" s="74">
        <f>+H138</f>
        <v>0.7587499999999998</v>
      </c>
      <c r="K138" s="75">
        <v>366.39</v>
      </c>
      <c r="L138" s="48">
        <f t="shared" si="28"/>
        <v>0.002070880755479134</v>
      </c>
      <c r="M138" s="45">
        <v>347.8</v>
      </c>
      <c r="N138" s="45">
        <f t="shared" si="29"/>
        <v>0.7202523267556428</v>
      </c>
      <c r="O138" s="45">
        <f>L138*60*1000</f>
        <v>124.25284532874802</v>
      </c>
      <c r="P138" s="45">
        <f>O138*M138/1000</f>
        <v>43.215139605338564</v>
      </c>
      <c r="R138" s="10"/>
      <c r="S138" s="10"/>
    </row>
    <row r="139" spans="1:19" s="9" customFormat="1" ht="12.75">
      <c r="A139" s="183"/>
      <c r="B139" s="121" t="s">
        <v>850</v>
      </c>
      <c r="C139" s="59">
        <v>20</v>
      </c>
      <c r="D139" s="59" t="s">
        <v>31</v>
      </c>
      <c r="E139" s="74">
        <v>9</v>
      </c>
      <c r="F139" s="74">
        <f>47.25*0.051</f>
        <v>2.40975</v>
      </c>
      <c r="G139" s="74">
        <f>20*0.16</f>
        <v>3.2</v>
      </c>
      <c r="H139" s="74">
        <f>+E139-F139-G139</f>
        <v>3.39025</v>
      </c>
      <c r="I139" s="44"/>
      <c r="J139" s="74">
        <f>+H139</f>
        <v>3.39025</v>
      </c>
      <c r="K139" s="75">
        <v>1634.6</v>
      </c>
      <c r="L139" s="48">
        <f t="shared" si="28"/>
        <v>0.0020740548146335495</v>
      </c>
      <c r="M139" s="45">
        <v>347.8</v>
      </c>
      <c r="N139" s="45">
        <f t="shared" si="29"/>
        <v>0.7213562645295486</v>
      </c>
      <c r="O139" s="45">
        <f>L139*60*1000</f>
        <v>124.44328887801296</v>
      </c>
      <c r="P139" s="45">
        <f>O139*M139/1000</f>
        <v>43.28137587177291</v>
      </c>
      <c r="R139" s="10"/>
      <c r="S139" s="10"/>
    </row>
    <row r="140" spans="1:19" s="9" customFormat="1" ht="12.75">
      <c r="A140" s="183"/>
      <c r="B140" s="121" t="s">
        <v>460</v>
      </c>
      <c r="C140" s="59">
        <v>20</v>
      </c>
      <c r="D140" s="59">
        <v>1975</v>
      </c>
      <c r="E140" s="56">
        <v>7.046</v>
      </c>
      <c r="F140" s="56">
        <v>1.5045</v>
      </c>
      <c r="G140" s="56">
        <v>3.2</v>
      </c>
      <c r="H140" s="56">
        <v>2.3415</v>
      </c>
      <c r="I140" s="143">
        <v>1127.03</v>
      </c>
      <c r="J140" s="56">
        <v>2.34</v>
      </c>
      <c r="K140" s="143">
        <v>1127.03</v>
      </c>
      <c r="L140" s="142">
        <f t="shared" si="28"/>
        <v>0.0020762535158780158</v>
      </c>
      <c r="M140" s="55">
        <v>329.943</v>
      </c>
      <c r="N140" s="141">
        <f t="shared" si="29"/>
        <v>0.6850453137893401</v>
      </c>
      <c r="O140" s="141">
        <f>L140*60*1000</f>
        <v>124.57521095268095</v>
      </c>
      <c r="P140" s="141">
        <f>O140*M140/1000</f>
        <v>41.102718827360405</v>
      </c>
      <c r="Q140" s="11"/>
      <c r="R140" s="10"/>
      <c r="S140" s="10"/>
    </row>
    <row r="141" spans="1:19" s="9" customFormat="1" ht="12.75" customHeight="1">
      <c r="A141" s="183"/>
      <c r="B141" s="73" t="s">
        <v>537</v>
      </c>
      <c r="C141" s="33">
        <v>22</v>
      </c>
      <c r="D141" s="33" t="s">
        <v>31</v>
      </c>
      <c r="E141" s="74">
        <f>F141+G141+H141</f>
        <v>9.17</v>
      </c>
      <c r="F141" s="74">
        <v>3.1225</v>
      </c>
      <c r="G141" s="74">
        <v>3.52</v>
      </c>
      <c r="H141" s="74">
        <v>2.5275</v>
      </c>
      <c r="I141" s="75">
        <v>1237.62</v>
      </c>
      <c r="J141" s="74">
        <v>2.575</v>
      </c>
      <c r="K141" s="75">
        <v>1237.62</v>
      </c>
      <c r="L141" s="48">
        <f t="shared" si="28"/>
        <v>0.0020806063250432285</v>
      </c>
      <c r="M141" s="45">
        <v>206.4</v>
      </c>
      <c r="N141" s="45">
        <f t="shared" si="29"/>
        <v>0.42943714548892237</v>
      </c>
      <c r="O141" s="45">
        <f>L141*1000*60</f>
        <v>124.8363795025937</v>
      </c>
      <c r="P141" s="45">
        <f>N141*60</f>
        <v>25.766228729335342</v>
      </c>
      <c r="R141" s="10"/>
      <c r="S141" s="10"/>
    </row>
    <row r="142" spans="1:22" s="9" customFormat="1" ht="12.75">
      <c r="A142" s="183"/>
      <c r="B142" s="73" t="s">
        <v>623</v>
      </c>
      <c r="C142" s="33">
        <v>45</v>
      </c>
      <c r="D142" s="33" t="s">
        <v>31</v>
      </c>
      <c r="E142" s="56">
        <f>SUM(F142:H142)</f>
        <v>16.2</v>
      </c>
      <c r="F142" s="56">
        <v>4.1</v>
      </c>
      <c r="G142" s="56">
        <v>7.3</v>
      </c>
      <c r="H142" s="56">
        <v>4.8</v>
      </c>
      <c r="I142" s="75">
        <v>2285.72</v>
      </c>
      <c r="J142" s="56">
        <v>4.8</v>
      </c>
      <c r="K142" s="75">
        <v>2285.7</v>
      </c>
      <c r="L142" s="142">
        <f t="shared" si="28"/>
        <v>0.002100013125082032</v>
      </c>
      <c r="M142" s="55">
        <v>209.8</v>
      </c>
      <c r="N142" s="141">
        <f t="shared" si="29"/>
        <v>0.44058275364221033</v>
      </c>
      <c r="O142" s="141">
        <f>L142*60*1000</f>
        <v>126.00078750492192</v>
      </c>
      <c r="P142" s="141">
        <f>O142*M142/1000</f>
        <v>26.434965218532618</v>
      </c>
      <c r="Q142" s="10"/>
      <c r="R142" s="10"/>
      <c r="S142" s="10"/>
      <c r="T142" s="12"/>
      <c r="U142" s="13"/>
      <c r="V142" s="13"/>
    </row>
    <row r="143" spans="1:22" s="9" customFormat="1" ht="12.75">
      <c r="A143" s="183"/>
      <c r="B143" s="73" t="s">
        <v>538</v>
      </c>
      <c r="C143" s="33">
        <v>50</v>
      </c>
      <c r="D143" s="33" t="s">
        <v>31</v>
      </c>
      <c r="E143" s="74">
        <f>F143+G143+H143</f>
        <v>18.562</v>
      </c>
      <c r="F143" s="145">
        <v>5.1767</v>
      </c>
      <c r="G143" s="74">
        <v>7.92</v>
      </c>
      <c r="H143" s="74">
        <v>5.4653</v>
      </c>
      <c r="I143" s="75">
        <v>2596.6</v>
      </c>
      <c r="J143" s="74">
        <v>5.4653</v>
      </c>
      <c r="K143" s="75">
        <v>2596.6</v>
      </c>
      <c r="L143" s="48">
        <f t="shared" si="28"/>
        <v>0.002104790880382038</v>
      </c>
      <c r="M143" s="45">
        <v>206.4</v>
      </c>
      <c r="N143" s="45">
        <f t="shared" si="29"/>
        <v>0.43442883771085267</v>
      </c>
      <c r="O143" s="45">
        <f>L143*1000*60</f>
        <v>126.2874528229223</v>
      </c>
      <c r="P143" s="45">
        <f>N143*60</f>
        <v>26.06573026265116</v>
      </c>
      <c r="Q143" s="10"/>
      <c r="R143" s="10"/>
      <c r="S143" s="10"/>
      <c r="T143" s="12"/>
      <c r="U143" s="13"/>
      <c r="V143" s="13"/>
    </row>
    <row r="144" spans="1:19" s="9" customFormat="1" ht="12.75">
      <c r="A144" s="183"/>
      <c r="B144" s="121" t="s">
        <v>299</v>
      </c>
      <c r="C144" s="59">
        <v>50</v>
      </c>
      <c r="D144" s="59">
        <v>1977</v>
      </c>
      <c r="E144" s="56">
        <v>16.154998</v>
      </c>
      <c r="F144" s="56">
        <v>4.284</v>
      </c>
      <c r="G144" s="56">
        <v>8</v>
      </c>
      <c r="H144" s="56">
        <v>3.870998</v>
      </c>
      <c r="I144" s="143">
        <v>1826.29</v>
      </c>
      <c r="J144" s="56">
        <v>3.870998</v>
      </c>
      <c r="K144" s="143">
        <v>1826.29</v>
      </c>
      <c r="L144" s="140">
        <v>0.002119</v>
      </c>
      <c r="M144" s="55">
        <v>281.7</v>
      </c>
      <c r="N144" s="141">
        <f>L144*M144*1.09</f>
        <v>0.6506453069999999</v>
      </c>
      <c r="O144" s="141">
        <f aca="true" t="shared" si="30" ref="O144:O172">L144*60*1000</f>
        <v>127.13999999999997</v>
      </c>
      <c r="P144" s="141">
        <f>M144*O144/1000</f>
        <v>35.81533799999999</v>
      </c>
      <c r="R144" s="10"/>
      <c r="S144" s="10"/>
    </row>
    <row r="145" spans="1:19" s="9" customFormat="1" ht="12.75">
      <c r="A145" s="183"/>
      <c r="B145" s="73" t="s">
        <v>187</v>
      </c>
      <c r="C145" s="33">
        <v>100</v>
      </c>
      <c r="D145" s="33">
        <v>1969</v>
      </c>
      <c r="E145" s="74">
        <v>35.09</v>
      </c>
      <c r="F145" s="74">
        <v>9.236</v>
      </c>
      <c r="G145" s="74">
        <v>16</v>
      </c>
      <c r="H145" s="74">
        <v>9.854</v>
      </c>
      <c r="I145" s="75">
        <v>4628.7</v>
      </c>
      <c r="J145" s="74">
        <v>9.854</v>
      </c>
      <c r="K145" s="75">
        <v>4628.7</v>
      </c>
      <c r="L145" s="48">
        <f>J145/K145</f>
        <v>0.002128891481409467</v>
      </c>
      <c r="M145" s="45">
        <v>267.81</v>
      </c>
      <c r="N145" s="45">
        <f>L145*M145</f>
        <v>0.5701384276362693</v>
      </c>
      <c r="O145" s="45">
        <f t="shared" si="30"/>
        <v>127.733488884568</v>
      </c>
      <c r="P145" s="45">
        <f>O145*M145/1000</f>
        <v>34.20830565817616</v>
      </c>
      <c r="R145" s="10"/>
      <c r="S145" s="10"/>
    </row>
    <row r="146" spans="1:19" s="9" customFormat="1" ht="12.75">
      <c r="A146" s="183"/>
      <c r="B146" s="73" t="s">
        <v>41</v>
      </c>
      <c r="C146" s="33">
        <v>50</v>
      </c>
      <c r="D146" s="33">
        <v>2006</v>
      </c>
      <c r="E146" s="74">
        <v>19.547</v>
      </c>
      <c r="F146" s="74">
        <v>10.146647</v>
      </c>
      <c r="G146" s="74">
        <v>4</v>
      </c>
      <c r="H146" s="74">
        <v>5.400353</v>
      </c>
      <c r="I146" s="75">
        <v>2532.37</v>
      </c>
      <c r="J146" s="74">
        <f>H146</f>
        <v>5.400353</v>
      </c>
      <c r="K146" s="75">
        <v>2532.37</v>
      </c>
      <c r="L146" s="48">
        <f>J146/K146</f>
        <v>0.0021325292117660532</v>
      </c>
      <c r="M146" s="45">
        <v>307.38</v>
      </c>
      <c r="N146" s="45">
        <f>L146*M146</f>
        <v>0.6554968291126494</v>
      </c>
      <c r="O146" s="45">
        <f t="shared" si="30"/>
        <v>127.9517527059632</v>
      </c>
      <c r="P146" s="45">
        <f>N146*60</f>
        <v>39.32980974675896</v>
      </c>
      <c r="Q146" s="11"/>
      <c r="R146" s="10"/>
      <c r="S146" s="10"/>
    </row>
    <row r="147" spans="1:16" s="9" customFormat="1" ht="13.5" customHeight="1">
      <c r="A147" s="183"/>
      <c r="B147" s="73" t="s">
        <v>737</v>
      </c>
      <c r="C147" s="33">
        <v>20</v>
      </c>
      <c r="D147" s="33" t="s">
        <v>31</v>
      </c>
      <c r="E147" s="74">
        <f>F147+G147+H147</f>
        <v>5.54</v>
      </c>
      <c r="F147" s="74">
        <v>0.092</v>
      </c>
      <c r="G147" s="74">
        <v>3.12</v>
      </c>
      <c r="H147" s="74">
        <v>2.328</v>
      </c>
      <c r="I147" s="75">
        <v>1078.13</v>
      </c>
      <c r="J147" s="74">
        <v>2.328</v>
      </c>
      <c r="K147" s="75">
        <v>1078.13</v>
      </c>
      <c r="L147" s="48">
        <f>J147/K147</f>
        <v>0.0021592943337074375</v>
      </c>
      <c r="M147" s="45">
        <v>361.99</v>
      </c>
      <c r="N147" s="45">
        <f>L147*M147</f>
        <v>0.7816429558587553</v>
      </c>
      <c r="O147" s="45">
        <f t="shared" si="30"/>
        <v>129.55766002244627</v>
      </c>
      <c r="P147" s="45">
        <f>O147*M147/1000</f>
        <v>46.898577351525326</v>
      </c>
    </row>
    <row r="148" spans="1:19" s="9" customFormat="1" ht="11.25" customHeight="1">
      <c r="A148" s="183"/>
      <c r="B148" s="73" t="s">
        <v>424</v>
      </c>
      <c r="C148" s="33">
        <v>13</v>
      </c>
      <c r="D148" s="33">
        <v>1981</v>
      </c>
      <c r="E148" s="74">
        <f>SUM(F148:H148)</f>
        <v>6.34</v>
      </c>
      <c r="F148" s="74">
        <v>2.84451</v>
      </c>
      <c r="G148" s="74">
        <v>1.92</v>
      </c>
      <c r="H148" s="74">
        <v>1.57549</v>
      </c>
      <c r="I148" s="75">
        <v>729.29</v>
      </c>
      <c r="J148" s="74">
        <v>1.57549</v>
      </c>
      <c r="K148" s="75">
        <v>729.29</v>
      </c>
      <c r="L148" s="48">
        <f>J148/K148</f>
        <v>0.0021603065995694443</v>
      </c>
      <c r="M148" s="45">
        <v>316.536</v>
      </c>
      <c r="N148" s="45">
        <f>L148*M148</f>
        <v>0.6838148098013136</v>
      </c>
      <c r="O148" s="45">
        <f t="shared" si="30"/>
        <v>129.61839597416667</v>
      </c>
      <c r="P148" s="45">
        <f>O148*M148/1000</f>
        <v>41.02888858807882</v>
      </c>
      <c r="R148" s="10"/>
      <c r="S148" s="10"/>
    </row>
    <row r="149" spans="1:16" s="9" customFormat="1" ht="12.75" customHeight="1">
      <c r="A149" s="183"/>
      <c r="B149" s="73" t="s">
        <v>188</v>
      </c>
      <c r="C149" s="33">
        <v>75</v>
      </c>
      <c r="D149" s="33">
        <v>1974</v>
      </c>
      <c r="E149" s="74">
        <v>27.629</v>
      </c>
      <c r="F149" s="74">
        <v>7.075</v>
      </c>
      <c r="G149" s="74">
        <v>12</v>
      </c>
      <c r="H149" s="74">
        <v>8.554</v>
      </c>
      <c r="I149" s="75">
        <v>3958.59</v>
      </c>
      <c r="J149" s="74">
        <v>8.554</v>
      </c>
      <c r="K149" s="75">
        <v>3958.59</v>
      </c>
      <c r="L149" s="48">
        <f>J149/K149</f>
        <v>0.002160870410929144</v>
      </c>
      <c r="M149" s="45">
        <v>267.81</v>
      </c>
      <c r="N149" s="45">
        <f>L149*M149</f>
        <v>0.5787027047509341</v>
      </c>
      <c r="O149" s="45">
        <f t="shared" si="30"/>
        <v>129.65222465574863</v>
      </c>
      <c r="P149" s="45">
        <f>O149*M149/1000</f>
        <v>34.72216228505604</v>
      </c>
    </row>
    <row r="150" spans="1:19" s="9" customFormat="1" ht="12.75">
      <c r="A150" s="183"/>
      <c r="B150" s="121" t="s">
        <v>300</v>
      </c>
      <c r="C150" s="59">
        <v>25</v>
      </c>
      <c r="D150" s="59">
        <v>1973</v>
      </c>
      <c r="E150" s="56">
        <v>9.462999</v>
      </c>
      <c r="F150" s="56">
        <v>2.652</v>
      </c>
      <c r="G150" s="56">
        <v>4</v>
      </c>
      <c r="H150" s="56">
        <v>2.810999</v>
      </c>
      <c r="I150" s="143">
        <v>1292.7</v>
      </c>
      <c r="J150" s="56">
        <v>2.810999</v>
      </c>
      <c r="K150" s="143">
        <v>1292.7</v>
      </c>
      <c r="L150" s="140">
        <v>0.002174</v>
      </c>
      <c r="M150" s="55">
        <v>281.7</v>
      </c>
      <c r="N150" s="141">
        <f>L150*M150*1.09</f>
        <v>0.6675332220000001</v>
      </c>
      <c r="O150" s="141">
        <f t="shared" si="30"/>
        <v>130.44</v>
      </c>
      <c r="P150" s="141">
        <f>M150*O150/1000</f>
        <v>36.744947999999994</v>
      </c>
      <c r="R150" s="10"/>
      <c r="S150" s="10"/>
    </row>
    <row r="151" spans="1:19" s="9" customFormat="1" ht="12.75">
      <c r="A151" s="183"/>
      <c r="B151" s="121" t="s">
        <v>461</v>
      </c>
      <c r="C151" s="59">
        <v>44</v>
      </c>
      <c r="D151" s="59">
        <v>2008</v>
      </c>
      <c r="E151" s="56">
        <v>14.463</v>
      </c>
      <c r="F151" s="56">
        <v>4.182</v>
      </c>
      <c r="G151" s="56">
        <v>2.043</v>
      </c>
      <c r="H151" s="56">
        <v>8.238</v>
      </c>
      <c r="I151" s="143">
        <v>3663.85</v>
      </c>
      <c r="J151" s="56">
        <v>6.58</v>
      </c>
      <c r="K151" s="143">
        <v>3020.52</v>
      </c>
      <c r="L151" s="142">
        <f>J151/K151</f>
        <v>0.002178432852621403</v>
      </c>
      <c r="M151" s="55">
        <v>334.412</v>
      </c>
      <c r="N151" s="141">
        <f>L151*M151</f>
        <v>0.7284940871108285</v>
      </c>
      <c r="O151" s="141">
        <f t="shared" si="30"/>
        <v>130.70597115728415</v>
      </c>
      <c r="P151" s="141">
        <f>O151*M151/1000</f>
        <v>43.709645226649705</v>
      </c>
      <c r="R151" s="10"/>
      <c r="S151" s="10"/>
    </row>
    <row r="152" spans="1:19" s="9" customFormat="1" ht="12.75">
      <c r="A152" s="183"/>
      <c r="B152" s="73" t="s">
        <v>784</v>
      </c>
      <c r="C152" s="33">
        <v>12</v>
      </c>
      <c r="D152" s="33">
        <v>1986</v>
      </c>
      <c r="E152" s="74">
        <v>3.857</v>
      </c>
      <c r="F152" s="74">
        <v>1.076</v>
      </c>
      <c r="G152" s="74">
        <v>1.28</v>
      </c>
      <c r="H152" s="74">
        <v>1.5</v>
      </c>
      <c r="I152" s="44" t="s">
        <v>782</v>
      </c>
      <c r="J152" s="74">
        <v>1.5</v>
      </c>
      <c r="K152" s="75">
        <v>682.92</v>
      </c>
      <c r="L152" s="48">
        <f>J152/K152</f>
        <v>0.002196450535933931</v>
      </c>
      <c r="M152" s="45">
        <v>354.25</v>
      </c>
      <c r="N152" s="45">
        <f>L152*M152</f>
        <v>0.778092602354595</v>
      </c>
      <c r="O152" s="45">
        <f t="shared" si="30"/>
        <v>131.78703215603585</v>
      </c>
      <c r="P152" s="45">
        <f>O152*M152/1000</f>
        <v>46.685556141275704</v>
      </c>
      <c r="Q152" s="11"/>
      <c r="R152" s="10"/>
      <c r="S152" s="10"/>
    </row>
    <row r="153" spans="1:19" s="9" customFormat="1" ht="12.75">
      <c r="A153" s="183"/>
      <c r="B153" s="121" t="s">
        <v>301</v>
      </c>
      <c r="C153" s="59">
        <v>75</v>
      </c>
      <c r="D153" s="59">
        <v>1987</v>
      </c>
      <c r="E153" s="56">
        <v>28.149</v>
      </c>
      <c r="F153" s="56">
        <v>7.288308</v>
      </c>
      <c r="G153" s="56">
        <v>12</v>
      </c>
      <c r="H153" s="56">
        <v>8.860692</v>
      </c>
      <c r="I153" s="143">
        <v>4017.2</v>
      </c>
      <c r="J153" s="56">
        <v>8.860692</v>
      </c>
      <c r="K153" s="143">
        <v>4017.2</v>
      </c>
      <c r="L153" s="140">
        <v>0.002205</v>
      </c>
      <c r="M153" s="55">
        <v>281.7</v>
      </c>
      <c r="N153" s="141">
        <f>L153*M153*1.09</f>
        <v>0.677051865</v>
      </c>
      <c r="O153" s="141">
        <f t="shared" si="30"/>
        <v>132.3</v>
      </c>
      <c r="P153" s="141">
        <f>M153*O153/1000</f>
        <v>37.268910000000005</v>
      </c>
      <c r="R153" s="10"/>
      <c r="S153" s="10"/>
    </row>
    <row r="154" spans="1:19" s="9" customFormat="1" ht="12.75">
      <c r="A154" s="183"/>
      <c r="B154" s="121" t="s">
        <v>462</v>
      </c>
      <c r="C154" s="59">
        <v>19</v>
      </c>
      <c r="D154" s="59">
        <v>1996</v>
      </c>
      <c r="E154" s="56">
        <v>9.573</v>
      </c>
      <c r="F154" s="56">
        <v>3.460452</v>
      </c>
      <c r="G154" s="56">
        <v>3.04</v>
      </c>
      <c r="H154" s="56">
        <v>3.072548</v>
      </c>
      <c r="I154" s="143">
        <v>1389.83</v>
      </c>
      <c r="J154" s="56">
        <v>3.07</v>
      </c>
      <c r="K154" s="143">
        <v>1389.83</v>
      </c>
      <c r="L154" s="142">
        <f aca="true" t="shared" si="31" ref="L154:L166">J154/K154</f>
        <v>0.0022089032471597245</v>
      </c>
      <c r="M154" s="55">
        <v>334.412</v>
      </c>
      <c r="N154" s="141">
        <f aca="true" t="shared" si="32" ref="N154:N166">L154*M154</f>
        <v>0.7386837526891777</v>
      </c>
      <c r="O154" s="141">
        <f t="shared" si="30"/>
        <v>132.53419482958347</v>
      </c>
      <c r="P154" s="141">
        <f aca="true" t="shared" si="33" ref="P154:P166">O154*M154/1000</f>
        <v>44.32102516135066</v>
      </c>
      <c r="R154" s="10"/>
      <c r="S154" s="10"/>
    </row>
    <row r="155" spans="1:19" s="9" customFormat="1" ht="12.75">
      <c r="A155" s="183"/>
      <c r="B155" s="73" t="s">
        <v>501</v>
      </c>
      <c r="C155" s="75">
        <v>55</v>
      </c>
      <c r="D155" s="33" t="s">
        <v>31</v>
      </c>
      <c r="E155" s="74">
        <f>F155+G155+H155</f>
        <v>27.257742</v>
      </c>
      <c r="F155" s="74">
        <v>12.903</v>
      </c>
      <c r="G155" s="74">
        <v>8.72</v>
      </c>
      <c r="H155" s="74">
        <v>5.634742</v>
      </c>
      <c r="I155" s="75">
        <v>2548.82</v>
      </c>
      <c r="J155" s="74">
        <v>5.634742</v>
      </c>
      <c r="K155" s="75">
        <v>2548.82</v>
      </c>
      <c r="L155" s="48">
        <f t="shared" si="31"/>
        <v>0.0022107257476008503</v>
      </c>
      <c r="M155" s="45">
        <v>221.4</v>
      </c>
      <c r="N155" s="45">
        <f t="shared" si="32"/>
        <v>0.4894546805188283</v>
      </c>
      <c r="O155" s="45">
        <f t="shared" si="30"/>
        <v>132.64354485605102</v>
      </c>
      <c r="P155" s="45">
        <f t="shared" si="33"/>
        <v>29.367280831129698</v>
      </c>
      <c r="R155" s="10"/>
      <c r="S155" s="10"/>
    </row>
    <row r="156" spans="1:19" s="9" customFormat="1" ht="12.75">
      <c r="A156" s="183"/>
      <c r="B156" s="121" t="s">
        <v>463</v>
      </c>
      <c r="C156" s="59">
        <v>61</v>
      </c>
      <c r="D156" s="59">
        <v>1965</v>
      </c>
      <c r="E156" s="56">
        <v>24.231</v>
      </c>
      <c r="F156" s="56">
        <v>8.496804</v>
      </c>
      <c r="G156" s="56">
        <v>9.6</v>
      </c>
      <c r="H156" s="56">
        <v>6.1342</v>
      </c>
      <c r="I156" s="143">
        <v>2763.12</v>
      </c>
      <c r="J156" s="56">
        <v>6.13</v>
      </c>
      <c r="K156" s="143">
        <v>2763.12</v>
      </c>
      <c r="L156" s="142">
        <f t="shared" si="31"/>
        <v>0.0022185066157097773</v>
      </c>
      <c r="M156" s="55">
        <v>329.943</v>
      </c>
      <c r="N156" s="141">
        <f t="shared" si="32"/>
        <v>0.731980728307131</v>
      </c>
      <c r="O156" s="141">
        <f t="shared" si="30"/>
        <v>133.11039694258665</v>
      </c>
      <c r="P156" s="141">
        <f t="shared" si="33"/>
        <v>43.918843698427864</v>
      </c>
      <c r="Q156" s="11"/>
      <c r="R156" s="10"/>
      <c r="S156" s="10"/>
    </row>
    <row r="157" spans="1:19" s="9" customFormat="1" ht="12.75">
      <c r="A157" s="183"/>
      <c r="B157" s="121" t="s">
        <v>464</v>
      </c>
      <c r="C157" s="59">
        <v>50</v>
      </c>
      <c r="D157" s="59">
        <v>1971</v>
      </c>
      <c r="E157" s="56">
        <v>17.314</v>
      </c>
      <c r="F157" s="56">
        <v>3.519</v>
      </c>
      <c r="G157" s="56">
        <v>8</v>
      </c>
      <c r="H157" s="56">
        <v>5.795</v>
      </c>
      <c r="I157" s="143">
        <v>2592.75</v>
      </c>
      <c r="J157" s="56">
        <v>5.8</v>
      </c>
      <c r="K157" s="143">
        <v>2592.75</v>
      </c>
      <c r="L157" s="142">
        <f t="shared" si="31"/>
        <v>0.002237007038858355</v>
      </c>
      <c r="M157" s="55">
        <v>327.981</v>
      </c>
      <c r="N157" s="141">
        <f t="shared" si="32"/>
        <v>0.7336958056118021</v>
      </c>
      <c r="O157" s="141">
        <f t="shared" si="30"/>
        <v>134.2204223315013</v>
      </c>
      <c r="P157" s="141">
        <f t="shared" si="33"/>
        <v>44.02174833670813</v>
      </c>
      <c r="R157" s="10"/>
      <c r="S157" s="10"/>
    </row>
    <row r="158" spans="1:19" s="9" customFormat="1" ht="12.75" customHeight="1">
      <c r="A158" s="183"/>
      <c r="B158" s="122" t="s">
        <v>382</v>
      </c>
      <c r="C158" s="49">
        <v>59</v>
      </c>
      <c r="D158" s="57">
        <v>1991</v>
      </c>
      <c r="E158" s="145">
        <f>F158+G158+H158</f>
        <v>20.324997</v>
      </c>
      <c r="F158" s="146">
        <v>5.208069000000001</v>
      </c>
      <c r="G158" s="146">
        <v>9.6</v>
      </c>
      <c r="H158" s="146">
        <v>5.516928</v>
      </c>
      <c r="I158" s="147">
        <v>2442.55</v>
      </c>
      <c r="J158" s="146">
        <v>5.516928</v>
      </c>
      <c r="K158" s="147">
        <v>2442.55</v>
      </c>
      <c r="L158" s="148">
        <f t="shared" si="31"/>
        <v>0.0022586755644715562</v>
      </c>
      <c r="M158" s="58">
        <v>315.01</v>
      </c>
      <c r="N158" s="58">
        <f t="shared" si="32"/>
        <v>0.7115053895641849</v>
      </c>
      <c r="O158" s="58">
        <f t="shared" si="30"/>
        <v>135.52053386829337</v>
      </c>
      <c r="P158" s="58">
        <f t="shared" si="33"/>
        <v>42.690323373851086</v>
      </c>
      <c r="R158" s="10"/>
      <c r="S158" s="10"/>
    </row>
    <row r="159" spans="1:19" s="9" customFormat="1" ht="12.75" customHeight="1">
      <c r="A159" s="183"/>
      <c r="B159" s="73" t="s">
        <v>83</v>
      </c>
      <c r="C159" s="33">
        <v>22</v>
      </c>
      <c r="D159" s="33">
        <v>2006</v>
      </c>
      <c r="E159" s="74">
        <v>8.98</v>
      </c>
      <c r="F159" s="74">
        <v>5.12</v>
      </c>
      <c r="G159" s="74"/>
      <c r="H159" s="74">
        <f>E159-F159-G159</f>
        <v>3.8600000000000003</v>
      </c>
      <c r="I159" s="75">
        <v>1698.2</v>
      </c>
      <c r="J159" s="74">
        <f>H159/I159*K159</f>
        <v>3.859545401012837</v>
      </c>
      <c r="K159" s="33">
        <v>1698</v>
      </c>
      <c r="L159" s="48">
        <f t="shared" si="31"/>
        <v>0.0022729949358143917</v>
      </c>
      <c r="M159" s="45">
        <v>332.56</v>
      </c>
      <c r="N159" s="45">
        <f t="shared" si="32"/>
        <v>0.7559071958544341</v>
      </c>
      <c r="O159" s="45">
        <f t="shared" si="30"/>
        <v>136.3796961488635</v>
      </c>
      <c r="P159" s="45">
        <f t="shared" si="33"/>
        <v>45.35443175126605</v>
      </c>
      <c r="R159" s="10"/>
      <c r="S159" s="10"/>
    </row>
    <row r="160" spans="1:19" s="9" customFormat="1" ht="12.75">
      <c r="A160" s="183"/>
      <c r="B160" s="73" t="s">
        <v>120</v>
      </c>
      <c r="C160" s="33">
        <v>48</v>
      </c>
      <c r="D160" s="33">
        <v>1991</v>
      </c>
      <c r="E160" s="74">
        <v>21.35912</v>
      </c>
      <c r="F160" s="74">
        <v>8.39354</v>
      </c>
      <c r="G160" s="74">
        <v>6.3</v>
      </c>
      <c r="H160" s="74">
        <f>E160-F160-G160</f>
        <v>6.665580000000001</v>
      </c>
      <c r="I160" s="75">
        <v>2916.03</v>
      </c>
      <c r="J160" s="74">
        <f>H160</f>
        <v>6.665580000000001</v>
      </c>
      <c r="K160" s="75">
        <f>I160</f>
        <v>2916.03</v>
      </c>
      <c r="L160" s="48">
        <f t="shared" si="31"/>
        <v>0.002285840680651434</v>
      </c>
      <c r="M160" s="45">
        <v>288.2</v>
      </c>
      <c r="N160" s="45">
        <f t="shared" si="32"/>
        <v>0.6587792841637432</v>
      </c>
      <c r="O160" s="45">
        <f t="shared" si="30"/>
        <v>137.15044083908603</v>
      </c>
      <c r="P160" s="45">
        <f t="shared" si="33"/>
        <v>39.52675704982459</v>
      </c>
      <c r="Q160" s="11"/>
      <c r="R160" s="10"/>
      <c r="S160" s="10"/>
    </row>
    <row r="161" spans="1:19" s="9" customFormat="1" ht="12.75">
      <c r="A161" s="183"/>
      <c r="B161" s="73" t="s">
        <v>84</v>
      </c>
      <c r="C161" s="33">
        <v>60</v>
      </c>
      <c r="D161" s="33">
        <v>1968</v>
      </c>
      <c r="E161" s="74">
        <v>18.09</v>
      </c>
      <c r="F161" s="74">
        <v>7.62</v>
      </c>
      <c r="G161" s="74">
        <v>4.18</v>
      </c>
      <c r="H161" s="74">
        <v>6.29</v>
      </c>
      <c r="I161" s="75">
        <v>2715.4</v>
      </c>
      <c r="J161" s="74">
        <f>H161/I161*K161</f>
        <v>6.289073433011711</v>
      </c>
      <c r="K161" s="33">
        <v>2715</v>
      </c>
      <c r="L161" s="48">
        <f t="shared" si="31"/>
        <v>0.0023164174707225454</v>
      </c>
      <c r="M161" s="45">
        <v>332.56</v>
      </c>
      <c r="N161" s="45">
        <f t="shared" si="32"/>
        <v>0.7703477940634897</v>
      </c>
      <c r="O161" s="45">
        <f t="shared" si="30"/>
        <v>138.98504824335274</v>
      </c>
      <c r="P161" s="45">
        <f t="shared" si="33"/>
        <v>46.22086764380939</v>
      </c>
      <c r="R161" s="10"/>
      <c r="S161" s="10"/>
    </row>
    <row r="162" spans="1:19" s="9" customFormat="1" ht="12.75">
      <c r="A162" s="183"/>
      <c r="B162" s="121" t="s">
        <v>465</v>
      </c>
      <c r="C162" s="59">
        <v>50</v>
      </c>
      <c r="D162" s="59">
        <v>1972</v>
      </c>
      <c r="E162" s="56">
        <v>19.622</v>
      </c>
      <c r="F162" s="56">
        <v>5.7885</v>
      </c>
      <c r="G162" s="56">
        <v>7.84</v>
      </c>
      <c r="H162" s="56">
        <v>5.9935</v>
      </c>
      <c r="I162" s="143">
        <v>2581.47</v>
      </c>
      <c r="J162" s="56">
        <v>5.99</v>
      </c>
      <c r="K162" s="143">
        <v>2581.47</v>
      </c>
      <c r="L162" s="142">
        <f t="shared" si="31"/>
        <v>0.0023203833474725643</v>
      </c>
      <c r="M162" s="55">
        <v>329.943</v>
      </c>
      <c r="N162" s="141">
        <f t="shared" si="32"/>
        <v>0.7655942428151402</v>
      </c>
      <c r="O162" s="141">
        <f t="shared" si="30"/>
        <v>139.22300084835385</v>
      </c>
      <c r="P162" s="141">
        <f t="shared" si="33"/>
        <v>45.93565456890841</v>
      </c>
      <c r="Q162" s="11"/>
      <c r="R162" s="10"/>
      <c r="S162" s="10"/>
    </row>
    <row r="163" spans="1:19" s="9" customFormat="1" ht="12.75">
      <c r="A163" s="183"/>
      <c r="B163" s="121" t="s">
        <v>851</v>
      </c>
      <c r="C163" s="33">
        <v>31</v>
      </c>
      <c r="D163" s="33" t="s">
        <v>31</v>
      </c>
      <c r="E163" s="74">
        <v>12.636</v>
      </c>
      <c r="F163" s="74">
        <f>70.9*0.051</f>
        <v>3.6159</v>
      </c>
      <c r="G163" s="74">
        <f>31*0.16</f>
        <v>4.96</v>
      </c>
      <c r="H163" s="74">
        <f>+E163-F163-G163</f>
        <v>4.060099999999999</v>
      </c>
      <c r="I163" s="44"/>
      <c r="J163" s="74">
        <f>+H163</f>
        <v>4.060099999999999</v>
      </c>
      <c r="K163" s="75">
        <v>1742.32</v>
      </c>
      <c r="L163" s="48">
        <f t="shared" si="31"/>
        <v>0.002330283759584921</v>
      </c>
      <c r="M163" s="45">
        <v>347.8</v>
      </c>
      <c r="N163" s="45">
        <f t="shared" si="32"/>
        <v>0.8104726915836354</v>
      </c>
      <c r="O163" s="45">
        <f t="shared" si="30"/>
        <v>139.81702557509527</v>
      </c>
      <c r="P163" s="45">
        <f t="shared" si="33"/>
        <v>48.62836149501813</v>
      </c>
      <c r="R163" s="10"/>
      <c r="S163" s="10"/>
    </row>
    <row r="164" spans="1:19" s="9" customFormat="1" ht="12.75">
      <c r="A164" s="183"/>
      <c r="B164" s="73" t="s">
        <v>189</v>
      </c>
      <c r="C164" s="33">
        <v>100</v>
      </c>
      <c r="D164" s="33">
        <v>1969</v>
      </c>
      <c r="E164" s="74">
        <v>33.29</v>
      </c>
      <c r="F164" s="74">
        <v>6.937</v>
      </c>
      <c r="G164" s="74">
        <v>15.92</v>
      </c>
      <c r="H164" s="74">
        <v>10.433</v>
      </c>
      <c r="I164" s="75">
        <v>4440.95</v>
      </c>
      <c r="J164" s="74">
        <v>10.433</v>
      </c>
      <c r="K164" s="75">
        <v>4440.95</v>
      </c>
      <c r="L164" s="48">
        <f t="shared" si="31"/>
        <v>0.0023492721152005764</v>
      </c>
      <c r="M164" s="45">
        <v>267.81</v>
      </c>
      <c r="N164" s="45">
        <f t="shared" si="32"/>
        <v>0.6291585651718664</v>
      </c>
      <c r="O164" s="45">
        <f t="shared" si="30"/>
        <v>140.95632691203457</v>
      </c>
      <c r="P164" s="45">
        <f t="shared" si="33"/>
        <v>37.74951391031198</v>
      </c>
      <c r="R164" s="10"/>
      <c r="S164" s="10"/>
    </row>
    <row r="165" spans="1:19" s="9" customFormat="1" ht="12.75">
      <c r="A165" s="183"/>
      <c r="B165" s="121" t="s">
        <v>254</v>
      </c>
      <c r="C165" s="59">
        <v>40</v>
      </c>
      <c r="D165" s="59">
        <v>1979</v>
      </c>
      <c r="E165" s="74">
        <v>15.28</v>
      </c>
      <c r="F165" s="74">
        <v>3.876</v>
      </c>
      <c r="G165" s="74">
        <v>6.24</v>
      </c>
      <c r="H165" s="74">
        <v>5.164</v>
      </c>
      <c r="I165" s="75">
        <v>2257.74</v>
      </c>
      <c r="J165" s="74">
        <v>5.14</v>
      </c>
      <c r="K165" s="75">
        <v>2180.68</v>
      </c>
      <c r="L165" s="48">
        <f t="shared" si="31"/>
        <v>0.0023570629344974964</v>
      </c>
      <c r="M165" s="45">
        <v>343.459</v>
      </c>
      <c r="N165" s="45">
        <f t="shared" si="32"/>
        <v>0.8095544784195756</v>
      </c>
      <c r="O165" s="45">
        <f t="shared" si="30"/>
        <v>141.4237760698498</v>
      </c>
      <c r="P165" s="45">
        <f t="shared" si="33"/>
        <v>48.573268705174534</v>
      </c>
      <c r="R165" s="10"/>
      <c r="S165" s="10"/>
    </row>
    <row r="166" spans="1:19" s="9" customFormat="1" ht="12.75">
      <c r="A166" s="183"/>
      <c r="B166" s="73" t="s">
        <v>85</v>
      </c>
      <c r="C166" s="33">
        <v>54</v>
      </c>
      <c r="D166" s="33">
        <v>1980</v>
      </c>
      <c r="E166" s="74">
        <v>28.28</v>
      </c>
      <c r="F166" s="74">
        <v>7.76</v>
      </c>
      <c r="G166" s="74">
        <v>12.2</v>
      </c>
      <c r="H166" s="74">
        <v>8.32</v>
      </c>
      <c r="I166" s="75">
        <v>3508.9</v>
      </c>
      <c r="J166" s="74">
        <f>H166/I166*K166</f>
        <v>8.32</v>
      </c>
      <c r="K166" s="75">
        <v>3508.9</v>
      </c>
      <c r="L166" s="48">
        <f t="shared" si="31"/>
        <v>0.0023711134543589157</v>
      </c>
      <c r="M166" s="45">
        <v>332.56</v>
      </c>
      <c r="N166" s="45">
        <f t="shared" si="32"/>
        <v>0.788537490381601</v>
      </c>
      <c r="O166" s="45">
        <f t="shared" si="30"/>
        <v>142.26680726153495</v>
      </c>
      <c r="P166" s="45">
        <f t="shared" si="33"/>
        <v>47.312249422896066</v>
      </c>
      <c r="R166" s="10"/>
      <c r="S166" s="10"/>
    </row>
    <row r="167" spans="1:19" s="9" customFormat="1" ht="12.75">
      <c r="A167" s="183"/>
      <c r="B167" s="121" t="s">
        <v>302</v>
      </c>
      <c r="C167" s="59">
        <v>36</v>
      </c>
      <c r="D167" s="59">
        <v>1981</v>
      </c>
      <c r="E167" s="56">
        <v>13.577</v>
      </c>
      <c r="F167" s="56">
        <v>3.264</v>
      </c>
      <c r="G167" s="56">
        <v>5.76</v>
      </c>
      <c r="H167" s="56">
        <v>4.553</v>
      </c>
      <c r="I167" s="143">
        <v>1915.14</v>
      </c>
      <c r="J167" s="56">
        <v>4.473905</v>
      </c>
      <c r="K167" s="143">
        <v>1881.87</v>
      </c>
      <c r="L167" s="140">
        <v>0.002377</v>
      </c>
      <c r="M167" s="55">
        <v>281.7</v>
      </c>
      <c r="N167" s="141">
        <f>L167*M167*1.09</f>
        <v>0.7298649810000001</v>
      </c>
      <c r="O167" s="141">
        <f t="shared" si="30"/>
        <v>142.62000000000003</v>
      </c>
      <c r="P167" s="141">
        <f>M167*O167/1000</f>
        <v>40.17605400000001</v>
      </c>
      <c r="R167" s="10"/>
      <c r="S167" s="10"/>
    </row>
    <row r="168" spans="1:19" s="9" customFormat="1" ht="12.75" customHeight="1">
      <c r="A168" s="183"/>
      <c r="B168" s="73" t="s">
        <v>738</v>
      </c>
      <c r="C168" s="33">
        <v>12</v>
      </c>
      <c r="D168" s="33" t="s">
        <v>31</v>
      </c>
      <c r="E168" s="74">
        <f>F168+G168+H168</f>
        <v>3.404</v>
      </c>
      <c r="F168" s="74">
        <v>0.135</v>
      </c>
      <c r="G168" s="74">
        <v>1.6</v>
      </c>
      <c r="H168" s="74">
        <v>1.669</v>
      </c>
      <c r="I168" s="75">
        <v>698.46</v>
      </c>
      <c r="J168" s="74">
        <v>1.669</v>
      </c>
      <c r="K168" s="75">
        <v>698.46</v>
      </c>
      <c r="L168" s="48">
        <f>J168/K168</f>
        <v>0.002389542708243851</v>
      </c>
      <c r="M168" s="45">
        <v>361.99</v>
      </c>
      <c r="N168" s="45">
        <f>L168*M168</f>
        <v>0.8649905649571916</v>
      </c>
      <c r="O168" s="45">
        <f t="shared" si="30"/>
        <v>143.37256249463104</v>
      </c>
      <c r="P168" s="45">
        <f>O168*M168/1000</f>
        <v>51.899433897431486</v>
      </c>
      <c r="R168" s="10"/>
      <c r="S168" s="10"/>
    </row>
    <row r="169" spans="1:19" s="9" customFormat="1" ht="12.75">
      <c r="A169" s="183"/>
      <c r="B169" s="73" t="s">
        <v>603</v>
      </c>
      <c r="C169" s="33">
        <v>39</v>
      </c>
      <c r="D169" s="33">
        <v>1992</v>
      </c>
      <c r="E169" s="74">
        <v>16.671</v>
      </c>
      <c r="F169" s="74">
        <v>4.78</v>
      </c>
      <c r="G169" s="74">
        <v>6.4</v>
      </c>
      <c r="H169" s="74">
        <v>5.489</v>
      </c>
      <c r="I169" s="75">
        <v>2286.95</v>
      </c>
      <c r="J169" s="74">
        <v>5.489</v>
      </c>
      <c r="K169" s="75">
        <v>2286.95</v>
      </c>
      <c r="L169" s="48">
        <f>J169/K169</f>
        <v>0.0024001399243533967</v>
      </c>
      <c r="M169" s="45">
        <v>210.7</v>
      </c>
      <c r="N169" s="45">
        <f>L169*M169</f>
        <v>0.5057094820612607</v>
      </c>
      <c r="O169" s="45">
        <f t="shared" si="30"/>
        <v>144.0083954612038</v>
      </c>
      <c r="P169" s="45">
        <f>O169*M169/1000</f>
        <v>30.34256892367564</v>
      </c>
      <c r="R169" s="10"/>
      <c r="S169" s="10"/>
    </row>
    <row r="170" spans="1:19" s="9" customFormat="1" ht="12.75">
      <c r="A170" s="183"/>
      <c r="B170" s="73" t="s">
        <v>190</v>
      </c>
      <c r="C170" s="33">
        <v>46</v>
      </c>
      <c r="D170" s="33">
        <v>1981</v>
      </c>
      <c r="E170" s="74">
        <v>16.587</v>
      </c>
      <c r="F170" s="74">
        <v>3.763</v>
      </c>
      <c r="G170" s="74">
        <v>7.2</v>
      </c>
      <c r="H170" s="74">
        <v>5.624</v>
      </c>
      <c r="I170" s="75">
        <v>2339.19</v>
      </c>
      <c r="J170" s="74">
        <v>5.624</v>
      </c>
      <c r="K170" s="75">
        <v>2339.2</v>
      </c>
      <c r="L170" s="48">
        <f>J170/K170</f>
        <v>0.0024042407660738716</v>
      </c>
      <c r="M170" s="45">
        <v>267.81</v>
      </c>
      <c r="N170" s="45">
        <f>L170*M170</f>
        <v>0.6438797195622435</v>
      </c>
      <c r="O170" s="45">
        <f t="shared" si="30"/>
        <v>144.2544459644323</v>
      </c>
      <c r="P170" s="45">
        <f>O170*M170/1000</f>
        <v>38.632783173734616</v>
      </c>
      <c r="Q170" s="11"/>
      <c r="R170" s="10"/>
      <c r="S170" s="10"/>
    </row>
    <row r="171" spans="1:19" s="9" customFormat="1" ht="12.75">
      <c r="A171" s="183"/>
      <c r="B171" s="121" t="s">
        <v>466</v>
      </c>
      <c r="C171" s="59">
        <v>82</v>
      </c>
      <c r="D171" s="59">
        <v>2007</v>
      </c>
      <c r="E171" s="56">
        <v>27.633</v>
      </c>
      <c r="F171" s="56">
        <v>4.947</v>
      </c>
      <c r="G171" s="56">
        <v>5.863</v>
      </c>
      <c r="H171" s="56">
        <v>16.823</v>
      </c>
      <c r="I171" s="143">
        <v>6753.11</v>
      </c>
      <c r="J171" s="56">
        <v>13.15</v>
      </c>
      <c r="K171" s="143">
        <v>5442.66</v>
      </c>
      <c r="L171" s="142">
        <f>J171/K171</f>
        <v>0.0024160980108990826</v>
      </c>
      <c r="M171" s="55">
        <v>334.412</v>
      </c>
      <c r="N171" s="141">
        <f>L171*M171</f>
        <v>0.807972168020784</v>
      </c>
      <c r="O171" s="141">
        <f t="shared" si="30"/>
        <v>144.96588065394494</v>
      </c>
      <c r="P171" s="141">
        <f>O171*M171/1000</f>
        <v>48.47833008124703</v>
      </c>
      <c r="Q171" s="11"/>
      <c r="R171" s="10"/>
      <c r="S171" s="10"/>
    </row>
    <row r="172" spans="1:19" s="9" customFormat="1" ht="12.75">
      <c r="A172" s="183"/>
      <c r="B172" s="73" t="s">
        <v>42</v>
      </c>
      <c r="C172" s="33">
        <v>71</v>
      </c>
      <c r="D172" s="33">
        <v>2006</v>
      </c>
      <c r="E172" s="74">
        <v>24.74</v>
      </c>
      <c r="F172" s="74">
        <v>11.781</v>
      </c>
      <c r="G172" s="74">
        <v>4.34213</v>
      </c>
      <c r="H172" s="74">
        <v>8.61687</v>
      </c>
      <c r="I172" s="75">
        <v>3533.18</v>
      </c>
      <c r="J172" s="74">
        <f>H172</f>
        <v>8.61687</v>
      </c>
      <c r="K172" s="75">
        <v>3533.18</v>
      </c>
      <c r="L172" s="48">
        <f>J172/K172</f>
        <v>0.00243884262901975</v>
      </c>
      <c r="M172" s="45">
        <v>306.181</v>
      </c>
      <c r="N172" s="45">
        <f>L172*M172</f>
        <v>0.7467272749958961</v>
      </c>
      <c r="O172" s="45">
        <f t="shared" si="30"/>
        <v>146.330557741185</v>
      </c>
      <c r="P172" s="45">
        <f>N172*60</f>
        <v>44.803636499753765</v>
      </c>
      <c r="R172" s="10"/>
      <c r="S172" s="10"/>
    </row>
    <row r="173" spans="1:19" s="9" customFormat="1" ht="12.75">
      <c r="A173" s="183"/>
      <c r="B173" s="101" t="s">
        <v>231</v>
      </c>
      <c r="C173" s="102">
        <v>55</v>
      </c>
      <c r="D173" s="33">
        <v>2008</v>
      </c>
      <c r="E173" s="74">
        <f>+F173+G173+H173</f>
        <v>21.130999000000003</v>
      </c>
      <c r="F173" s="103">
        <v>6.085044000000001</v>
      </c>
      <c r="G173" s="103">
        <v>8.8</v>
      </c>
      <c r="H173" s="103">
        <v>6.245955</v>
      </c>
      <c r="I173" s="104">
        <v>2550.67</v>
      </c>
      <c r="J173" s="103">
        <v>6.245955</v>
      </c>
      <c r="K173" s="104">
        <v>2550.67</v>
      </c>
      <c r="L173" s="48">
        <f>+J173/K173</f>
        <v>0.002448750720398954</v>
      </c>
      <c r="M173" s="45">
        <v>312.83</v>
      </c>
      <c r="N173" s="45">
        <f>+L173*M173</f>
        <v>0.7660426878624047</v>
      </c>
      <c r="O173" s="45">
        <f>+L173*60*1000</f>
        <v>146.92504322393722</v>
      </c>
      <c r="P173" s="45">
        <f>+N173*60</f>
        <v>45.962561271744285</v>
      </c>
      <c r="Q173" s="11"/>
      <c r="R173" s="10"/>
      <c r="S173" s="10"/>
    </row>
    <row r="174" spans="1:19" s="9" customFormat="1" ht="12.75" customHeight="1">
      <c r="A174" s="183"/>
      <c r="B174" s="73" t="s">
        <v>579</v>
      </c>
      <c r="C174" s="33">
        <v>30</v>
      </c>
      <c r="D174" s="33">
        <v>2000</v>
      </c>
      <c r="E174" s="74">
        <v>11.2</v>
      </c>
      <c r="F174" s="74">
        <v>3.0159</v>
      </c>
      <c r="G174" s="74">
        <v>4.72</v>
      </c>
      <c r="H174" s="74">
        <f>E174-F174-G174</f>
        <v>3.4640999999999993</v>
      </c>
      <c r="I174" s="75">
        <v>1411.56</v>
      </c>
      <c r="J174" s="74">
        <v>3.4641</v>
      </c>
      <c r="K174" s="75">
        <v>1411.56</v>
      </c>
      <c r="L174" s="48">
        <f>J174/K174</f>
        <v>0.0024540933435348126</v>
      </c>
      <c r="M174" s="45">
        <v>243.179</v>
      </c>
      <c r="N174" s="45">
        <f>L174*M174</f>
        <v>0.5967839651874522</v>
      </c>
      <c r="O174" s="45">
        <f>L174*1000*60</f>
        <v>147.24560061208874</v>
      </c>
      <c r="P174" s="45">
        <f>N174*60</f>
        <v>35.807037911247136</v>
      </c>
      <c r="Q174" s="11"/>
      <c r="R174" s="10"/>
      <c r="S174" s="10"/>
    </row>
    <row r="175" spans="1:19" s="9" customFormat="1" ht="12.75">
      <c r="A175" s="183"/>
      <c r="B175" s="73" t="s">
        <v>191</v>
      </c>
      <c r="C175" s="33">
        <v>60</v>
      </c>
      <c r="D175" s="33">
        <v>1982</v>
      </c>
      <c r="E175" s="74">
        <v>24.9</v>
      </c>
      <c r="F175" s="74">
        <v>6.376</v>
      </c>
      <c r="G175" s="74">
        <v>9.6</v>
      </c>
      <c r="H175" s="74">
        <v>8.924</v>
      </c>
      <c r="I175" s="75">
        <v>3623.16</v>
      </c>
      <c r="J175" s="74">
        <v>8.924</v>
      </c>
      <c r="K175" s="75">
        <v>3623.16</v>
      </c>
      <c r="L175" s="48">
        <f>J175/K175</f>
        <v>0.0024630433102595523</v>
      </c>
      <c r="M175" s="45">
        <v>267.81</v>
      </c>
      <c r="N175" s="45">
        <f>L175*M175</f>
        <v>0.6596276289206107</v>
      </c>
      <c r="O175" s="45">
        <f>L175*60*1000</f>
        <v>147.78259861557314</v>
      </c>
      <c r="P175" s="45">
        <f>O175*M175/1000</f>
        <v>39.57765773523664</v>
      </c>
      <c r="R175" s="10"/>
      <c r="S175" s="10"/>
    </row>
    <row r="176" spans="1:19" s="9" customFormat="1" ht="12.75">
      <c r="A176" s="183"/>
      <c r="B176" s="121" t="s">
        <v>303</v>
      </c>
      <c r="C176" s="59">
        <v>54</v>
      </c>
      <c r="D176" s="59">
        <v>1980</v>
      </c>
      <c r="E176" s="56">
        <v>27.0605</v>
      </c>
      <c r="F176" s="56">
        <v>5.3295</v>
      </c>
      <c r="G176" s="56">
        <v>12.96</v>
      </c>
      <c r="H176" s="56">
        <v>8.771</v>
      </c>
      <c r="I176" s="143">
        <v>3558.84</v>
      </c>
      <c r="J176" s="56">
        <v>8.771</v>
      </c>
      <c r="K176" s="143">
        <v>3558.84</v>
      </c>
      <c r="L176" s="140">
        <v>0.002464</v>
      </c>
      <c r="M176" s="55">
        <v>281.7</v>
      </c>
      <c r="N176" s="141">
        <f>L176*M176*1.09</f>
        <v>0.756578592</v>
      </c>
      <c r="O176" s="141">
        <f>L176*60*1000</f>
        <v>147.84</v>
      </c>
      <c r="P176" s="141">
        <f>M176*O176/1000</f>
        <v>41.646527999999996</v>
      </c>
      <c r="R176" s="10"/>
      <c r="S176" s="10"/>
    </row>
    <row r="177" spans="1:19" s="9" customFormat="1" ht="11.25" customHeight="1">
      <c r="A177" s="183"/>
      <c r="B177" s="101" t="s">
        <v>232</v>
      </c>
      <c r="C177" s="102">
        <v>31</v>
      </c>
      <c r="D177" s="33">
        <v>1966</v>
      </c>
      <c r="E177" s="74">
        <f>+F177+G177+H177</f>
        <v>11.391997</v>
      </c>
      <c r="F177" s="103">
        <v>2.344405</v>
      </c>
      <c r="G177" s="103">
        <v>4.8</v>
      </c>
      <c r="H177" s="103">
        <v>4.247592</v>
      </c>
      <c r="I177" s="104">
        <v>1718.52</v>
      </c>
      <c r="J177" s="103">
        <v>4.247592</v>
      </c>
      <c r="K177" s="104">
        <v>1718.52</v>
      </c>
      <c r="L177" s="48">
        <f>+J177/K177</f>
        <v>0.002471657007192235</v>
      </c>
      <c r="M177" s="45">
        <v>312.83</v>
      </c>
      <c r="N177" s="45">
        <f>+L177*M177</f>
        <v>0.7732084615599468</v>
      </c>
      <c r="O177" s="45">
        <f>+L177*60*1000</f>
        <v>148.2994204315341</v>
      </c>
      <c r="P177" s="45">
        <f>+N177*60</f>
        <v>46.39250769359681</v>
      </c>
      <c r="R177" s="10"/>
      <c r="S177" s="10"/>
    </row>
    <row r="178" spans="1:19" s="9" customFormat="1" ht="12.75" customHeight="1">
      <c r="A178" s="183"/>
      <c r="B178" s="73" t="s">
        <v>43</v>
      </c>
      <c r="C178" s="33">
        <v>59</v>
      </c>
      <c r="D178" s="33">
        <v>2001</v>
      </c>
      <c r="E178" s="74">
        <v>25.919</v>
      </c>
      <c r="F178" s="74">
        <v>8.310093</v>
      </c>
      <c r="G178" s="74">
        <v>9.12</v>
      </c>
      <c r="H178" s="74">
        <v>8.488905</v>
      </c>
      <c r="I178" s="75">
        <v>3432.83</v>
      </c>
      <c r="J178" s="74">
        <f>H178</f>
        <v>8.488905</v>
      </c>
      <c r="K178" s="75">
        <v>3432.83</v>
      </c>
      <c r="L178" s="48">
        <f aca="true" t="shared" si="34" ref="L178:L191">J178/K178</f>
        <v>0.002472859127891565</v>
      </c>
      <c r="M178" s="45">
        <v>306.181</v>
      </c>
      <c r="N178" s="45">
        <f aca="true" t="shared" si="35" ref="N178:N191">L178*M178</f>
        <v>0.7571424806369672</v>
      </c>
      <c r="O178" s="45">
        <f aca="true" t="shared" si="36" ref="O178:O190">L178*60*1000</f>
        <v>148.3715476734939</v>
      </c>
      <c r="P178" s="45">
        <f>N178*60</f>
        <v>45.428548838218035</v>
      </c>
      <c r="R178" s="10"/>
      <c r="S178" s="10"/>
    </row>
    <row r="179" spans="1:19" s="9" customFormat="1" ht="12.75" customHeight="1">
      <c r="A179" s="183"/>
      <c r="B179" s="73" t="s">
        <v>852</v>
      </c>
      <c r="C179" s="33">
        <v>19</v>
      </c>
      <c r="D179" s="33" t="s">
        <v>31</v>
      </c>
      <c r="E179" s="74">
        <v>6.311</v>
      </c>
      <c r="F179" s="74">
        <f>21*0.051</f>
        <v>1.071</v>
      </c>
      <c r="G179" s="74">
        <f>19*0.16</f>
        <v>3.04</v>
      </c>
      <c r="H179" s="74">
        <f>+E179-F179-G179</f>
        <v>2.2</v>
      </c>
      <c r="I179" s="44"/>
      <c r="J179" s="74">
        <f>+H179</f>
        <v>2.2</v>
      </c>
      <c r="K179" s="75">
        <v>888.3</v>
      </c>
      <c r="L179" s="48">
        <f t="shared" si="34"/>
        <v>0.002476640774513115</v>
      </c>
      <c r="M179" s="45">
        <v>347.8</v>
      </c>
      <c r="N179" s="45">
        <f t="shared" si="35"/>
        <v>0.8613756613756615</v>
      </c>
      <c r="O179" s="45">
        <f t="shared" si="36"/>
        <v>148.5984464707869</v>
      </c>
      <c r="P179" s="45">
        <f>O179*M179/1000</f>
        <v>51.68253968253969</v>
      </c>
      <c r="R179" s="10"/>
      <c r="S179" s="10"/>
    </row>
    <row r="180" spans="1:16" s="9" customFormat="1" ht="12.75" customHeight="1">
      <c r="A180" s="183"/>
      <c r="B180" s="122" t="s">
        <v>383</v>
      </c>
      <c r="C180" s="49">
        <v>59</v>
      </c>
      <c r="D180" s="57">
        <v>1974</v>
      </c>
      <c r="E180" s="145">
        <f>F180+G180+H180</f>
        <v>22.314002</v>
      </c>
      <c r="F180" s="146">
        <v>5.9415</v>
      </c>
      <c r="G180" s="146">
        <v>9.6</v>
      </c>
      <c r="H180" s="146">
        <v>6.772501999999999</v>
      </c>
      <c r="I180" s="147">
        <v>2729.69</v>
      </c>
      <c r="J180" s="146">
        <v>6.772501999999999</v>
      </c>
      <c r="K180" s="147">
        <v>2729.69</v>
      </c>
      <c r="L180" s="148">
        <f t="shared" si="34"/>
        <v>0.0024810516945147614</v>
      </c>
      <c r="M180" s="58">
        <v>315.01</v>
      </c>
      <c r="N180" s="58">
        <f t="shared" si="35"/>
        <v>0.781556094289095</v>
      </c>
      <c r="O180" s="58">
        <f t="shared" si="36"/>
        <v>148.86310167088567</v>
      </c>
      <c r="P180" s="58">
        <f>O180*M180/1000</f>
        <v>46.89336565734569</v>
      </c>
    </row>
    <row r="181" spans="1:19" s="9" customFormat="1" ht="12.75" customHeight="1">
      <c r="A181" s="183"/>
      <c r="B181" s="73" t="s">
        <v>192</v>
      </c>
      <c r="C181" s="33">
        <v>75</v>
      </c>
      <c r="D181" s="33">
        <v>1973</v>
      </c>
      <c r="E181" s="74">
        <v>27.962</v>
      </c>
      <c r="F181" s="74">
        <v>6.052</v>
      </c>
      <c r="G181" s="74">
        <v>12</v>
      </c>
      <c r="H181" s="74">
        <v>9.91</v>
      </c>
      <c r="I181" s="75">
        <v>3986.53</v>
      </c>
      <c r="J181" s="74">
        <v>9.91</v>
      </c>
      <c r="K181" s="75">
        <v>3986.53</v>
      </c>
      <c r="L181" s="48">
        <f t="shared" si="34"/>
        <v>0.0024858711711689113</v>
      </c>
      <c r="M181" s="45">
        <v>267.81</v>
      </c>
      <c r="N181" s="45">
        <f t="shared" si="35"/>
        <v>0.6657411583507461</v>
      </c>
      <c r="O181" s="45">
        <f t="shared" si="36"/>
        <v>149.15227027013466</v>
      </c>
      <c r="P181" s="45">
        <f>O181*M181/1000</f>
        <v>39.944469501044765</v>
      </c>
      <c r="R181" s="10"/>
      <c r="S181" s="10"/>
    </row>
    <row r="182" spans="1:19" s="9" customFormat="1" ht="12.75" customHeight="1">
      <c r="A182" s="183"/>
      <c r="B182" s="73" t="s">
        <v>502</v>
      </c>
      <c r="C182" s="75">
        <v>32</v>
      </c>
      <c r="D182" s="33" t="s">
        <v>31</v>
      </c>
      <c r="E182" s="74">
        <f>F182+G182+H182</f>
        <v>9.61839</v>
      </c>
      <c r="F182" s="74">
        <v>0.969</v>
      </c>
      <c r="G182" s="74">
        <v>5.12</v>
      </c>
      <c r="H182" s="74">
        <v>3.52939</v>
      </c>
      <c r="I182" s="75">
        <v>1417.51</v>
      </c>
      <c r="J182" s="74">
        <v>3.52939</v>
      </c>
      <c r="K182" s="75">
        <v>1417.51</v>
      </c>
      <c r="L182" s="48">
        <f t="shared" si="34"/>
        <v>0.0024898519234432207</v>
      </c>
      <c r="M182" s="45">
        <v>221.4</v>
      </c>
      <c r="N182" s="45">
        <f t="shared" si="35"/>
        <v>0.551253215850329</v>
      </c>
      <c r="O182" s="45">
        <f t="shared" si="36"/>
        <v>149.39111540659326</v>
      </c>
      <c r="P182" s="45">
        <f>O182*M182/1000</f>
        <v>33.07519295101975</v>
      </c>
      <c r="R182" s="10"/>
      <c r="S182" s="10"/>
    </row>
    <row r="183" spans="1:19" s="9" customFormat="1" ht="12.75" customHeight="1">
      <c r="A183" s="183"/>
      <c r="B183" s="73" t="s">
        <v>121</v>
      </c>
      <c r="C183" s="33">
        <v>60</v>
      </c>
      <c r="D183" s="33">
        <v>1970</v>
      </c>
      <c r="E183" s="74">
        <v>20</v>
      </c>
      <c r="F183" s="74">
        <v>6.21928</v>
      </c>
      <c r="G183" s="74">
        <v>5.97</v>
      </c>
      <c r="H183" s="74">
        <f>E183-F183-G183</f>
        <v>7.810719999999999</v>
      </c>
      <c r="I183" s="75">
        <v>3132.9</v>
      </c>
      <c r="J183" s="74">
        <f>H183</f>
        <v>7.810719999999999</v>
      </c>
      <c r="K183" s="75">
        <f>I183</f>
        <v>3132.9</v>
      </c>
      <c r="L183" s="48">
        <f t="shared" si="34"/>
        <v>0.0024931277729898812</v>
      </c>
      <c r="M183" s="45">
        <v>288.2</v>
      </c>
      <c r="N183" s="45">
        <f t="shared" si="35"/>
        <v>0.7185194241756837</v>
      </c>
      <c r="O183" s="45">
        <f t="shared" si="36"/>
        <v>149.58766637939289</v>
      </c>
      <c r="P183" s="45">
        <f>O183*M183/1000</f>
        <v>43.11116545054102</v>
      </c>
      <c r="R183" s="10"/>
      <c r="S183" s="10"/>
    </row>
    <row r="184" spans="1:19" s="9" customFormat="1" ht="12.75" customHeight="1">
      <c r="A184" s="183"/>
      <c r="B184" s="73" t="s">
        <v>44</v>
      </c>
      <c r="C184" s="33">
        <v>42</v>
      </c>
      <c r="D184" s="33">
        <v>2000</v>
      </c>
      <c r="E184" s="74">
        <v>24.5087</v>
      </c>
      <c r="F184" s="74">
        <v>10.945352</v>
      </c>
      <c r="G184" s="74">
        <v>6.64</v>
      </c>
      <c r="H184" s="74">
        <v>6.9233460000000004</v>
      </c>
      <c r="I184" s="75">
        <v>2801.69</v>
      </c>
      <c r="J184" s="74">
        <f>H184</f>
        <v>6.9233460000000004</v>
      </c>
      <c r="K184" s="75">
        <v>2759.32</v>
      </c>
      <c r="L184" s="48">
        <f t="shared" si="34"/>
        <v>0.002509076874012438</v>
      </c>
      <c r="M184" s="45">
        <v>306.181</v>
      </c>
      <c r="N184" s="45">
        <f t="shared" si="35"/>
        <v>0.7682316663620021</v>
      </c>
      <c r="O184" s="45">
        <f t="shared" si="36"/>
        <v>150.54461244074628</v>
      </c>
      <c r="P184" s="45">
        <f>N184*60</f>
        <v>46.09389998172013</v>
      </c>
      <c r="R184" s="10"/>
      <c r="S184" s="10"/>
    </row>
    <row r="185" spans="1:16" s="9" customFormat="1" ht="12.75" customHeight="1">
      <c r="A185" s="183"/>
      <c r="B185" s="122" t="s">
        <v>384</v>
      </c>
      <c r="C185" s="49">
        <v>39</v>
      </c>
      <c r="D185" s="57">
        <v>1990</v>
      </c>
      <c r="E185" s="145">
        <f>F185+G185+H185</f>
        <v>17.361993</v>
      </c>
      <c r="F185" s="146">
        <v>5.543904</v>
      </c>
      <c r="G185" s="146">
        <v>6.24</v>
      </c>
      <c r="H185" s="146">
        <v>5.578089</v>
      </c>
      <c r="I185" s="147">
        <v>2285.64</v>
      </c>
      <c r="J185" s="146">
        <v>5.578089</v>
      </c>
      <c r="K185" s="147">
        <v>2218.03</v>
      </c>
      <c r="L185" s="148">
        <f t="shared" si="34"/>
        <v>0.0025148843793817034</v>
      </c>
      <c r="M185" s="58">
        <v>315.01</v>
      </c>
      <c r="N185" s="58">
        <f t="shared" si="35"/>
        <v>0.7922137283490304</v>
      </c>
      <c r="O185" s="58">
        <f t="shared" si="36"/>
        <v>150.89306276290222</v>
      </c>
      <c r="P185" s="58">
        <f>O185*M185/1000</f>
        <v>47.53282370094183</v>
      </c>
    </row>
    <row r="186" spans="1:19" s="9" customFormat="1" ht="12.75" customHeight="1">
      <c r="A186" s="183"/>
      <c r="B186" s="73" t="s">
        <v>122</v>
      </c>
      <c r="C186" s="33">
        <v>145</v>
      </c>
      <c r="D186" s="33">
        <v>1979</v>
      </c>
      <c r="E186" s="74">
        <v>59.112</v>
      </c>
      <c r="F186" s="74">
        <v>25.63551</v>
      </c>
      <c r="G186" s="74">
        <v>14.4</v>
      </c>
      <c r="H186" s="74">
        <f>E186-F186-G186</f>
        <v>19.07649</v>
      </c>
      <c r="I186" s="75">
        <v>7579.44</v>
      </c>
      <c r="J186" s="74">
        <f>H186</f>
        <v>19.07649</v>
      </c>
      <c r="K186" s="75">
        <f>I186</f>
        <v>7579.44</v>
      </c>
      <c r="L186" s="48">
        <f t="shared" si="34"/>
        <v>0.0025168732782369146</v>
      </c>
      <c r="M186" s="45">
        <v>288.2</v>
      </c>
      <c r="N186" s="45">
        <f t="shared" si="35"/>
        <v>0.7253628787878788</v>
      </c>
      <c r="O186" s="45">
        <f t="shared" si="36"/>
        <v>151.01239669421489</v>
      </c>
      <c r="P186" s="45">
        <f>O186*M186/1000</f>
        <v>43.521772727272726</v>
      </c>
      <c r="R186" s="10"/>
      <c r="S186" s="10"/>
    </row>
    <row r="187" spans="1:19" s="9" customFormat="1" ht="12.75">
      <c r="A187" s="183"/>
      <c r="B187" s="73" t="s">
        <v>425</v>
      </c>
      <c r="C187" s="33">
        <v>13</v>
      </c>
      <c r="D187" s="33">
        <v>1981</v>
      </c>
      <c r="E187" s="74">
        <f>SUM(F187:H187)</f>
        <v>6.31</v>
      </c>
      <c r="F187" s="74">
        <v>2.25414</v>
      </c>
      <c r="G187" s="74">
        <v>2.08</v>
      </c>
      <c r="H187" s="74">
        <v>1.97586</v>
      </c>
      <c r="I187" s="75">
        <v>779.03</v>
      </c>
      <c r="J187" s="74">
        <v>1.97586</v>
      </c>
      <c r="K187" s="75">
        <v>779.03</v>
      </c>
      <c r="L187" s="48">
        <f t="shared" si="34"/>
        <v>0.002536307972735325</v>
      </c>
      <c r="M187" s="45">
        <v>316.536</v>
      </c>
      <c r="N187" s="45">
        <f t="shared" si="35"/>
        <v>0.8028327804577488</v>
      </c>
      <c r="O187" s="45">
        <f t="shared" si="36"/>
        <v>152.17847836411948</v>
      </c>
      <c r="P187" s="45">
        <f>O187*M187/1000</f>
        <v>48.169966827464926</v>
      </c>
      <c r="R187" s="10"/>
      <c r="S187" s="10"/>
    </row>
    <row r="188" spans="1:16" s="9" customFormat="1" ht="12.75" customHeight="1">
      <c r="A188" s="183"/>
      <c r="B188" s="73" t="s">
        <v>503</v>
      </c>
      <c r="C188" s="75">
        <v>45</v>
      </c>
      <c r="D188" s="33" t="s">
        <v>31</v>
      </c>
      <c r="E188" s="74">
        <f>F188+G188+H188</f>
        <v>17.130935</v>
      </c>
      <c r="F188" s="74">
        <v>3.978</v>
      </c>
      <c r="G188" s="74">
        <v>7.2</v>
      </c>
      <c r="H188" s="74">
        <v>5.952935</v>
      </c>
      <c r="I188" s="75">
        <v>2329.45</v>
      </c>
      <c r="J188" s="74">
        <v>5.952936</v>
      </c>
      <c r="K188" s="75">
        <v>2329.45</v>
      </c>
      <c r="L188" s="48">
        <f t="shared" si="34"/>
        <v>0.002555511386808045</v>
      </c>
      <c r="M188" s="45">
        <v>221.4</v>
      </c>
      <c r="N188" s="45">
        <f t="shared" si="35"/>
        <v>0.5657902210393012</v>
      </c>
      <c r="O188" s="45">
        <f t="shared" si="36"/>
        <v>153.3306832084827</v>
      </c>
      <c r="P188" s="45">
        <f>O188*M188/1000</f>
        <v>33.94741326235807</v>
      </c>
    </row>
    <row r="189" spans="1:19" s="9" customFormat="1" ht="12.75">
      <c r="A189" s="183"/>
      <c r="B189" s="73" t="s">
        <v>45</v>
      </c>
      <c r="C189" s="33">
        <v>45</v>
      </c>
      <c r="D189" s="33">
        <v>2001</v>
      </c>
      <c r="E189" s="74">
        <v>23.027</v>
      </c>
      <c r="F189" s="74">
        <v>7.89096</v>
      </c>
      <c r="G189" s="74">
        <v>7.12</v>
      </c>
      <c r="H189" s="74">
        <v>8.01604</v>
      </c>
      <c r="I189" s="75">
        <v>3135.61</v>
      </c>
      <c r="J189" s="74">
        <f>H189</f>
        <v>8.01604</v>
      </c>
      <c r="K189" s="75">
        <v>3135.61</v>
      </c>
      <c r="L189" s="48">
        <f t="shared" si="34"/>
        <v>0.002556453130331897</v>
      </c>
      <c r="M189" s="45">
        <v>306.181</v>
      </c>
      <c r="N189" s="45">
        <f t="shared" si="35"/>
        <v>0.7827373758981505</v>
      </c>
      <c r="O189" s="45">
        <f t="shared" si="36"/>
        <v>153.3871878199138</v>
      </c>
      <c r="P189" s="45">
        <f>N189*60</f>
        <v>46.96424255388903</v>
      </c>
      <c r="R189" s="10"/>
      <c r="S189" s="10"/>
    </row>
    <row r="190" spans="1:19" s="9" customFormat="1" ht="12.75">
      <c r="A190" s="183"/>
      <c r="B190" s="73" t="s">
        <v>193</v>
      </c>
      <c r="C190" s="33">
        <v>120</v>
      </c>
      <c r="D190" s="33">
        <v>1972</v>
      </c>
      <c r="E190" s="74">
        <v>44.405</v>
      </c>
      <c r="F190" s="74">
        <v>10.654</v>
      </c>
      <c r="G190" s="74">
        <v>19.04</v>
      </c>
      <c r="H190" s="74">
        <v>14.711</v>
      </c>
      <c r="I190" s="75">
        <v>5746.89</v>
      </c>
      <c r="J190" s="74">
        <v>14.711</v>
      </c>
      <c r="K190" s="75">
        <v>5746.89</v>
      </c>
      <c r="L190" s="48">
        <f t="shared" si="34"/>
        <v>0.002559819310966453</v>
      </c>
      <c r="M190" s="45">
        <v>267.81</v>
      </c>
      <c r="N190" s="45">
        <f t="shared" si="35"/>
        <v>0.6855452096699258</v>
      </c>
      <c r="O190" s="45">
        <f t="shared" si="36"/>
        <v>153.58915865798718</v>
      </c>
      <c r="P190" s="45">
        <f>O190*M190/1000</f>
        <v>41.132712580195545</v>
      </c>
      <c r="R190" s="10"/>
      <c r="S190" s="10"/>
    </row>
    <row r="191" spans="1:19" s="9" customFormat="1" ht="12.75">
      <c r="A191" s="183"/>
      <c r="B191" s="73" t="s">
        <v>539</v>
      </c>
      <c r="C191" s="33">
        <v>13</v>
      </c>
      <c r="D191" s="33">
        <v>2007</v>
      </c>
      <c r="E191" s="74">
        <f>F191+G191+H191</f>
        <v>6.782</v>
      </c>
      <c r="F191" s="74">
        <v>2.0816</v>
      </c>
      <c r="G191" s="74">
        <v>2</v>
      </c>
      <c r="H191" s="74">
        <v>2.7004</v>
      </c>
      <c r="I191" s="75">
        <v>1052.22</v>
      </c>
      <c r="J191" s="74">
        <v>2.7004</v>
      </c>
      <c r="K191" s="75">
        <v>1052.22</v>
      </c>
      <c r="L191" s="48">
        <f t="shared" si="34"/>
        <v>0.002566383455931269</v>
      </c>
      <c r="M191" s="45">
        <v>206.4</v>
      </c>
      <c r="N191" s="45">
        <f t="shared" si="35"/>
        <v>0.529701545304214</v>
      </c>
      <c r="O191" s="45">
        <f>L191*1000*60</f>
        <v>153.98300735587617</v>
      </c>
      <c r="P191" s="45">
        <f>N191*60</f>
        <v>31.78209271825284</v>
      </c>
      <c r="Q191" s="11"/>
      <c r="R191" s="10"/>
      <c r="S191" s="10"/>
    </row>
    <row r="192" spans="1:19" s="9" customFormat="1" ht="12.75">
      <c r="A192" s="183"/>
      <c r="B192" s="101" t="s">
        <v>233</v>
      </c>
      <c r="C192" s="102">
        <v>31</v>
      </c>
      <c r="D192" s="33">
        <v>1977</v>
      </c>
      <c r="E192" s="74">
        <f>+F192+G192+H192</f>
        <v>11.696992999999999</v>
      </c>
      <c r="F192" s="103">
        <v>2.84398</v>
      </c>
      <c r="G192" s="103">
        <v>4.8</v>
      </c>
      <c r="H192" s="103">
        <v>4.053013</v>
      </c>
      <c r="I192" s="104">
        <v>1565.73</v>
      </c>
      <c r="J192" s="103">
        <v>4.053013</v>
      </c>
      <c r="K192" s="104">
        <v>1565.73</v>
      </c>
      <c r="L192" s="48">
        <f>+J192/K192</f>
        <v>0.002588577213184904</v>
      </c>
      <c r="M192" s="45">
        <v>312.83</v>
      </c>
      <c r="N192" s="45">
        <f>+L192*M192</f>
        <v>0.8097846096006335</v>
      </c>
      <c r="O192" s="45">
        <f>+L192*60*1000</f>
        <v>155.31463279109425</v>
      </c>
      <c r="P192" s="45">
        <f>+N192*60</f>
        <v>48.58707657603801</v>
      </c>
      <c r="Q192" s="11"/>
      <c r="R192" s="10"/>
      <c r="S192" s="10"/>
    </row>
    <row r="193" spans="1:19" s="9" customFormat="1" ht="12.75">
      <c r="A193" s="183"/>
      <c r="B193" s="73" t="s">
        <v>324</v>
      </c>
      <c r="C193" s="33">
        <v>52</v>
      </c>
      <c r="D193" s="33">
        <v>1973</v>
      </c>
      <c r="E193" s="74">
        <v>19.690972</v>
      </c>
      <c r="F193" s="74">
        <v>3.571173</v>
      </c>
      <c r="G193" s="74">
        <v>7.913129</v>
      </c>
      <c r="H193" s="74">
        <v>8.20667</v>
      </c>
      <c r="I193" s="75">
        <v>2742.82</v>
      </c>
      <c r="J193" s="74">
        <v>6.802696</v>
      </c>
      <c r="K193" s="75">
        <v>2625.72</v>
      </c>
      <c r="L193" s="48">
        <f aca="true" t="shared" si="37" ref="L193:L224">J193/K193</f>
        <v>0.002590792620690706</v>
      </c>
      <c r="M193" s="45">
        <v>247.6</v>
      </c>
      <c r="N193" s="45">
        <f aca="true" t="shared" si="38" ref="N193:N224">L193*M193</f>
        <v>0.6414802528830188</v>
      </c>
      <c r="O193" s="45">
        <f>L193*60*1000</f>
        <v>155.44755724144235</v>
      </c>
      <c r="P193" s="45">
        <f>O193*M193/1000</f>
        <v>38.48881517298113</v>
      </c>
      <c r="R193" s="10"/>
      <c r="S193" s="10"/>
    </row>
    <row r="194" spans="1:19" s="9" customFormat="1" ht="12.75">
      <c r="A194" s="183"/>
      <c r="B194" s="73" t="s">
        <v>325</v>
      </c>
      <c r="C194" s="33">
        <v>30</v>
      </c>
      <c r="D194" s="33">
        <v>1987</v>
      </c>
      <c r="E194" s="74">
        <v>11.250981</v>
      </c>
      <c r="F194" s="74">
        <v>2.461413</v>
      </c>
      <c r="G194" s="74">
        <v>4.8</v>
      </c>
      <c r="H194" s="74">
        <v>3.989568</v>
      </c>
      <c r="I194" s="75">
        <v>1510.61</v>
      </c>
      <c r="J194" s="74">
        <v>3.798964</v>
      </c>
      <c r="K194" s="75">
        <v>1454.73</v>
      </c>
      <c r="L194" s="48">
        <f t="shared" si="37"/>
        <v>0.0026114564214665265</v>
      </c>
      <c r="M194" s="45">
        <v>247.6</v>
      </c>
      <c r="N194" s="45">
        <f t="shared" si="38"/>
        <v>0.6465966099551119</v>
      </c>
      <c r="O194" s="45">
        <f>L194*60*1000</f>
        <v>156.6873852879916</v>
      </c>
      <c r="P194" s="45">
        <f>O194*M194/1000</f>
        <v>38.79579659730672</v>
      </c>
      <c r="R194" s="10"/>
      <c r="S194" s="10"/>
    </row>
    <row r="195" spans="1:19" s="9" customFormat="1" ht="12.75" customHeight="1">
      <c r="A195" s="183"/>
      <c r="B195" s="121" t="s">
        <v>466</v>
      </c>
      <c r="C195" s="59">
        <v>38</v>
      </c>
      <c r="D195" s="59">
        <v>2007</v>
      </c>
      <c r="E195" s="56">
        <v>20.188</v>
      </c>
      <c r="F195" s="56">
        <v>3.468</v>
      </c>
      <c r="G195" s="56">
        <v>3.385</v>
      </c>
      <c r="H195" s="56">
        <v>13.335</v>
      </c>
      <c r="I195" s="143">
        <v>4060.06</v>
      </c>
      <c r="J195" s="56">
        <v>7.11</v>
      </c>
      <c r="K195" s="143">
        <v>2722.37</v>
      </c>
      <c r="L195" s="142">
        <f t="shared" si="37"/>
        <v>0.002611694956967642</v>
      </c>
      <c r="M195" s="55">
        <v>334.412</v>
      </c>
      <c r="N195" s="141">
        <f t="shared" si="38"/>
        <v>0.8733821339494631</v>
      </c>
      <c r="O195" s="141">
        <f>L195*60*1000</f>
        <v>156.70169741805853</v>
      </c>
      <c r="P195" s="141">
        <f>O195*M195/1000</f>
        <v>52.402928036967786</v>
      </c>
      <c r="Q195" s="11"/>
      <c r="R195" s="10"/>
      <c r="S195" s="10"/>
    </row>
    <row r="196" spans="1:19" s="9" customFormat="1" ht="12.75">
      <c r="A196" s="183"/>
      <c r="B196" s="73" t="s">
        <v>540</v>
      </c>
      <c r="C196" s="33">
        <v>60</v>
      </c>
      <c r="D196" s="33" t="s">
        <v>31</v>
      </c>
      <c r="E196" s="74">
        <f>F196+G196+H196</f>
        <v>25.2498</v>
      </c>
      <c r="F196" s="74">
        <v>7.4501</v>
      </c>
      <c r="G196" s="74">
        <v>9.6</v>
      </c>
      <c r="H196" s="74">
        <v>8.1997</v>
      </c>
      <c r="I196" s="75">
        <v>3136.98</v>
      </c>
      <c r="J196" s="74">
        <v>8.1997</v>
      </c>
      <c r="K196" s="75">
        <v>3136.98</v>
      </c>
      <c r="L196" s="48">
        <f t="shared" si="37"/>
        <v>0.002613883416534374</v>
      </c>
      <c r="M196" s="45">
        <v>206.4</v>
      </c>
      <c r="N196" s="45">
        <f t="shared" si="38"/>
        <v>0.5395055371726948</v>
      </c>
      <c r="O196" s="45">
        <f>L196*1000*60</f>
        <v>156.83300499206243</v>
      </c>
      <c r="P196" s="45">
        <f>N196*60</f>
        <v>32.37033223036169</v>
      </c>
      <c r="R196" s="10"/>
      <c r="S196" s="10"/>
    </row>
    <row r="197" spans="1:19" s="9" customFormat="1" ht="12.75">
      <c r="A197" s="183"/>
      <c r="B197" s="73" t="s">
        <v>194</v>
      </c>
      <c r="C197" s="33">
        <v>25</v>
      </c>
      <c r="D197" s="33">
        <v>1996</v>
      </c>
      <c r="E197" s="74">
        <v>11.06</v>
      </c>
      <c r="F197" s="74">
        <v>3.09</v>
      </c>
      <c r="G197" s="74">
        <v>3.92</v>
      </c>
      <c r="H197" s="74">
        <v>4.05</v>
      </c>
      <c r="I197" s="75">
        <v>1545.6</v>
      </c>
      <c r="J197" s="74">
        <v>4.05</v>
      </c>
      <c r="K197" s="75">
        <v>1545.6</v>
      </c>
      <c r="L197" s="48">
        <f t="shared" si="37"/>
        <v>0.0026203416149068325</v>
      </c>
      <c r="M197" s="45">
        <v>267.81</v>
      </c>
      <c r="N197" s="45">
        <f t="shared" si="38"/>
        <v>0.7017536878881988</v>
      </c>
      <c r="O197" s="45">
        <f>L197*60*1000</f>
        <v>157.22049689440996</v>
      </c>
      <c r="P197" s="45">
        <f>O197*M197/1000</f>
        <v>42.10522127329193</v>
      </c>
      <c r="R197" s="10"/>
      <c r="S197" s="10"/>
    </row>
    <row r="198" spans="1:19" s="9" customFormat="1" ht="12.75">
      <c r="A198" s="183"/>
      <c r="B198" s="73" t="s">
        <v>785</v>
      </c>
      <c r="C198" s="33">
        <v>22</v>
      </c>
      <c r="D198" s="33">
        <v>1981</v>
      </c>
      <c r="E198" s="74">
        <v>13.445</v>
      </c>
      <c r="F198" s="74">
        <v>6.723</v>
      </c>
      <c r="G198" s="74">
        <v>3.52</v>
      </c>
      <c r="H198" s="74">
        <v>3.201</v>
      </c>
      <c r="I198" s="44" t="s">
        <v>782</v>
      </c>
      <c r="J198" s="74">
        <v>3.201</v>
      </c>
      <c r="K198" s="75">
        <v>1220.59</v>
      </c>
      <c r="L198" s="48">
        <f t="shared" si="37"/>
        <v>0.002622502232526893</v>
      </c>
      <c r="M198" s="45">
        <v>354.25</v>
      </c>
      <c r="N198" s="45">
        <f t="shared" si="38"/>
        <v>0.9290214158726517</v>
      </c>
      <c r="O198" s="45">
        <f>L198*60*1000</f>
        <v>157.35013395161357</v>
      </c>
      <c r="P198" s="45">
        <f>O198*M198/1000</f>
        <v>55.74128495235911</v>
      </c>
      <c r="R198" s="10"/>
      <c r="S198" s="10"/>
    </row>
    <row r="199" spans="1:19" s="9" customFormat="1" ht="12.75">
      <c r="A199" s="183"/>
      <c r="B199" s="73" t="s">
        <v>853</v>
      </c>
      <c r="C199" s="33">
        <v>20</v>
      </c>
      <c r="D199" s="33" t="s">
        <v>31</v>
      </c>
      <c r="E199" s="74">
        <v>6</v>
      </c>
      <c r="F199" s="74">
        <f>33*0.051</f>
        <v>1.6829999999999998</v>
      </c>
      <c r="G199" s="74">
        <f>20*0.01</f>
        <v>0.2</v>
      </c>
      <c r="H199" s="74">
        <f>+E199-F199-G199</f>
        <v>4.117</v>
      </c>
      <c r="I199" s="44"/>
      <c r="J199" s="74">
        <f>+H199</f>
        <v>4.117</v>
      </c>
      <c r="K199" s="75">
        <v>1568.18</v>
      </c>
      <c r="L199" s="48">
        <f t="shared" si="37"/>
        <v>0.0026253363772015966</v>
      </c>
      <c r="M199" s="45">
        <v>347.8</v>
      </c>
      <c r="N199" s="45">
        <f t="shared" si="38"/>
        <v>0.9130919919907153</v>
      </c>
      <c r="O199" s="45">
        <f>L199*60*1000</f>
        <v>157.5201826320958</v>
      </c>
      <c r="P199" s="45">
        <f>O199*M199/1000</f>
        <v>54.78551951944293</v>
      </c>
      <c r="R199" s="10"/>
      <c r="S199" s="10"/>
    </row>
    <row r="200" spans="1:19" s="9" customFormat="1" ht="12.75">
      <c r="A200" s="183"/>
      <c r="B200" s="73" t="s">
        <v>604</v>
      </c>
      <c r="C200" s="33">
        <v>45</v>
      </c>
      <c r="D200" s="33">
        <v>1991</v>
      </c>
      <c r="E200" s="74">
        <v>17.957</v>
      </c>
      <c r="F200" s="74">
        <v>4.59</v>
      </c>
      <c r="G200" s="74">
        <v>7.2</v>
      </c>
      <c r="H200" s="74">
        <v>6.165</v>
      </c>
      <c r="I200" s="75">
        <v>2327.88</v>
      </c>
      <c r="J200" s="74">
        <v>6.165</v>
      </c>
      <c r="K200" s="75">
        <v>2327.88</v>
      </c>
      <c r="L200" s="48">
        <f t="shared" si="37"/>
        <v>0.002648332388267436</v>
      </c>
      <c r="M200" s="45">
        <v>210.7</v>
      </c>
      <c r="N200" s="45">
        <f t="shared" si="38"/>
        <v>0.5580036342079487</v>
      </c>
      <c r="O200" s="45">
        <f>L200*60*1000</f>
        <v>158.8999432960462</v>
      </c>
      <c r="P200" s="45">
        <f>O200*M200/1000</f>
        <v>33.48021805247693</v>
      </c>
      <c r="R200" s="10"/>
      <c r="S200" s="10"/>
    </row>
    <row r="201" spans="1:19" s="9" customFormat="1" ht="12.75">
      <c r="A201" s="183"/>
      <c r="B201" s="121" t="s">
        <v>467</v>
      </c>
      <c r="C201" s="59">
        <v>19</v>
      </c>
      <c r="D201" s="59">
        <v>1993</v>
      </c>
      <c r="E201" s="56">
        <v>9.347</v>
      </c>
      <c r="F201" s="56">
        <v>2.6061</v>
      </c>
      <c r="G201" s="56">
        <v>3.04</v>
      </c>
      <c r="H201" s="56">
        <v>3.7009</v>
      </c>
      <c r="I201" s="143">
        <v>1391.13</v>
      </c>
      <c r="J201" s="56">
        <v>3.7</v>
      </c>
      <c r="K201" s="143">
        <v>1391.13</v>
      </c>
      <c r="L201" s="142">
        <f t="shared" si="37"/>
        <v>0.002659708294695679</v>
      </c>
      <c r="M201" s="55">
        <v>334.412</v>
      </c>
      <c r="N201" s="141">
        <f t="shared" si="38"/>
        <v>0.8894383702457713</v>
      </c>
      <c r="O201" s="141">
        <f>L201*60*1000</f>
        <v>159.58249768174073</v>
      </c>
      <c r="P201" s="141">
        <f>O201*M201/1000</f>
        <v>53.36630221474628</v>
      </c>
      <c r="R201" s="10"/>
      <c r="S201" s="10"/>
    </row>
    <row r="202" spans="1:19" s="9" customFormat="1" ht="12.75">
      <c r="A202" s="183"/>
      <c r="B202" s="73" t="s">
        <v>541</v>
      </c>
      <c r="C202" s="33">
        <v>60</v>
      </c>
      <c r="D202" s="33" t="s">
        <v>31</v>
      </c>
      <c r="E202" s="74">
        <f>F202+G202+H202</f>
        <v>24.4102</v>
      </c>
      <c r="F202" s="145">
        <v>6.5024</v>
      </c>
      <c r="G202" s="74">
        <v>9.6</v>
      </c>
      <c r="H202" s="74">
        <v>8.3078</v>
      </c>
      <c r="I202" s="75">
        <v>3121.61</v>
      </c>
      <c r="J202" s="74">
        <v>8.3078</v>
      </c>
      <c r="K202" s="75">
        <v>3121.61</v>
      </c>
      <c r="L202" s="48">
        <f t="shared" si="37"/>
        <v>0.0026613830683525487</v>
      </c>
      <c r="M202" s="45">
        <v>206.4</v>
      </c>
      <c r="N202" s="45">
        <f t="shared" si="38"/>
        <v>0.5493094653079661</v>
      </c>
      <c r="O202" s="45">
        <f>L202*1000*60</f>
        <v>159.68298410115293</v>
      </c>
      <c r="P202" s="45">
        <f>N202*60</f>
        <v>32.95856791847797</v>
      </c>
      <c r="R202" s="10"/>
      <c r="S202" s="10"/>
    </row>
    <row r="203" spans="1:19" s="9" customFormat="1" ht="12.75">
      <c r="A203" s="183"/>
      <c r="B203" s="73" t="s">
        <v>326</v>
      </c>
      <c r="C203" s="33">
        <v>34</v>
      </c>
      <c r="D203" s="33">
        <v>1973</v>
      </c>
      <c r="E203" s="74">
        <v>12.195986</v>
      </c>
      <c r="F203" s="74">
        <v>2.420256</v>
      </c>
      <c r="G203" s="74">
        <v>5.077838</v>
      </c>
      <c r="H203" s="74">
        <v>4.697892</v>
      </c>
      <c r="I203" s="75">
        <v>1759.84</v>
      </c>
      <c r="J203" s="74">
        <v>4.697906</v>
      </c>
      <c r="K203" s="75">
        <v>1759.84</v>
      </c>
      <c r="L203" s="48">
        <f t="shared" si="37"/>
        <v>0.0026695074552232022</v>
      </c>
      <c r="M203" s="45">
        <v>247.6</v>
      </c>
      <c r="N203" s="45">
        <f t="shared" si="38"/>
        <v>0.6609700459132648</v>
      </c>
      <c r="O203" s="45">
        <f>L203*60*1000</f>
        <v>160.17044731339215</v>
      </c>
      <c r="P203" s="45">
        <f>O203*M203/1000</f>
        <v>39.658202754795894</v>
      </c>
      <c r="R203" s="10"/>
      <c r="S203" s="10"/>
    </row>
    <row r="204" spans="1:19" s="9" customFormat="1" ht="12.75" customHeight="1">
      <c r="A204" s="183"/>
      <c r="B204" s="73" t="s">
        <v>195</v>
      </c>
      <c r="C204" s="33">
        <v>75</v>
      </c>
      <c r="D204" s="33">
        <v>1978</v>
      </c>
      <c r="E204" s="74">
        <v>31.139</v>
      </c>
      <c r="F204" s="74">
        <v>8.695</v>
      </c>
      <c r="G204" s="74">
        <v>11.84</v>
      </c>
      <c r="H204" s="74">
        <v>10.604</v>
      </c>
      <c r="I204" s="75">
        <v>3970.77</v>
      </c>
      <c r="J204" s="74">
        <v>10.604</v>
      </c>
      <c r="K204" s="75">
        <v>3970.77</v>
      </c>
      <c r="L204" s="48">
        <f t="shared" si="37"/>
        <v>0.0026705147868045743</v>
      </c>
      <c r="M204" s="45">
        <v>267.81</v>
      </c>
      <c r="N204" s="45">
        <f t="shared" si="38"/>
        <v>0.715190565054133</v>
      </c>
      <c r="O204" s="45">
        <f>L204*60*1000</f>
        <v>160.23088720827448</v>
      </c>
      <c r="P204" s="45">
        <f>O204*M204/1000</f>
        <v>42.91143390324799</v>
      </c>
      <c r="R204" s="10"/>
      <c r="S204" s="10"/>
    </row>
    <row r="205" spans="1:19" s="9" customFormat="1" ht="11.25" customHeight="1">
      <c r="A205" s="183"/>
      <c r="B205" s="73" t="s">
        <v>542</v>
      </c>
      <c r="C205" s="33">
        <v>30</v>
      </c>
      <c r="D205" s="33" t="s">
        <v>31</v>
      </c>
      <c r="E205" s="74">
        <f>F205+G205+H205</f>
        <v>12.920100000000001</v>
      </c>
      <c r="F205" s="74">
        <v>3.9606</v>
      </c>
      <c r="G205" s="74">
        <v>4.8</v>
      </c>
      <c r="H205" s="74">
        <v>4.1595</v>
      </c>
      <c r="I205" s="75">
        <v>1557.33</v>
      </c>
      <c r="J205" s="74">
        <v>4.1595</v>
      </c>
      <c r="K205" s="75">
        <v>1557.33</v>
      </c>
      <c r="L205" s="48">
        <f t="shared" si="37"/>
        <v>0.0026709175319296493</v>
      </c>
      <c r="M205" s="45">
        <v>206.4</v>
      </c>
      <c r="N205" s="45">
        <f t="shared" si="38"/>
        <v>0.5512773785902796</v>
      </c>
      <c r="O205" s="45">
        <f>L205*1000*60</f>
        <v>160.25505191577898</v>
      </c>
      <c r="P205" s="45">
        <f>N205*60</f>
        <v>33.076642715416774</v>
      </c>
      <c r="R205" s="10"/>
      <c r="S205" s="10"/>
    </row>
    <row r="206" spans="1:19" s="9" customFormat="1" ht="12.75" customHeight="1">
      <c r="A206" s="183"/>
      <c r="B206" s="73" t="s">
        <v>605</v>
      </c>
      <c r="C206" s="33">
        <v>55</v>
      </c>
      <c r="D206" s="33">
        <v>1989</v>
      </c>
      <c r="E206" s="74">
        <v>20.374</v>
      </c>
      <c r="F206" s="74">
        <v>5.24</v>
      </c>
      <c r="G206" s="74">
        <v>8.8</v>
      </c>
      <c r="H206" s="74">
        <v>6.33</v>
      </c>
      <c r="I206" s="75">
        <v>2337.38</v>
      </c>
      <c r="J206" s="74">
        <v>6.33</v>
      </c>
      <c r="K206" s="75">
        <v>2337.38</v>
      </c>
      <c r="L206" s="48">
        <f t="shared" si="37"/>
        <v>0.0027081604189305975</v>
      </c>
      <c r="M206" s="45">
        <v>210.7</v>
      </c>
      <c r="N206" s="45">
        <f t="shared" si="38"/>
        <v>0.5706094002686769</v>
      </c>
      <c r="O206" s="45">
        <f aca="true" t="shared" si="39" ref="O206:O213">L206*60*1000</f>
        <v>162.48962513583584</v>
      </c>
      <c r="P206" s="45">
        <f aca="true" t="shared" si="40" ref="P206:P213">O206*M206/1000</f>
        <v>34.23656401612061</v>
      </c>
      <c r="R206" s="10"/>
      <c r="S206" s="10"/>
    </row>
    <row r="207" spans="1:19" s="9" customFormat="1" ht="12.75" customHeight="1">
      <c r="A207" s="183"/>
      <c r="B207" s="121" t="s">
        <v>468</v>
      </c>
      <c r="C207" s="59">
        <v>50</v>
      </c>
      <c r="D207" s="59">
        <v>1970</v>
      </c>
      <c r="E207" s="56">
        <v>20.132</v>
      </c>
      <c r="F207" s="56">
        <v>5.151</v>
      </c>
      <c r="G207" s="56">
        <v>8</v>
      </c>
      <c r="H207" s="56">
        <v>6.981</v>
      </c>
      <c r="I207" s="143">
        <v>2565.91</v>
      </c>
      <c r="J207" s="56">
        <v>6.98</v>
      </c>
      <c r="K207" s="143">
        <v>2565.91</v>
      </c>
      <c r="L207" s="142">
        <f t="shared" si="37"/>
        <v>0.0027202824728848637</v>
      </c>
      <c r="M207" s="55">
        <v>334.412</v>
      </c>
      <c r="N207" s="141">
        <f t="shared" si="38"/>
        <v>0.9096951023223729</v>
      </c>
      <c r="O207" s="141">
        <f t="shared" si="39"/>
        <v>163.21694837309184</v>
      </c>
      <c r="P207" s="141">
        <f t="shared" si="40"/>
        <v>54.58170613934239</v>
      </c>
      <c r="Q207" s="11"/>
      <c r="R207" s="10"/>
      <c r="S207" s="10"/>
    </row>
    <row r="208" spans="1:19" s="9" customFormat="1" ht="12.75" customHeight="1">
      <c r="A208" s="183"/>
      <c r="B208" s="73" t="s">
        <v>504</v>
      </c>
      <c r="C208" s="75">
        <v>60</v>
      </c>
      <c r="D208" s="33" t="s">
        <v>31</v>
      </c>
      <c r="E208" s="74">
        <f>F208+G208+H208</f>
        <v>26.195628999999997</v>
      </c>
      <c r="F208" s="74">
        <v>9.1749</v>
      </c>
      <c r="G208" s="74">
        <v>9.6</v>
      </c>
      <c r="H208" s="74">
        <v>7.420729</v>
      </c>
      <c r="I208" s="75">
        <v>2725.86</v>
      </c>
      <c r="J208" s="74">
        <v>7.420729</v>
      </c>
      <c r="K208" s="75">
        <v>2725.86</v>
      </c>
      <c r="L208" s="48">
        <f t="shared" si="37"/>
        <v>0.002722344140931669</v>
      </c>
      <c r="M208" s="45">
        <v>221.4</v>
      </c>
      <c r="N208" s="45">
        <f t="shared" si="38"/>
        <v>0.6027269928022715</v>
      </c>
      <c r="O208" s="45">
        <f t="shared" si="39"/>
        <v>163.34064845590012</v>
      </c>
      <c r="P208" s="45">
        <f t="shared" si="40"/>
        <v>36.16361956813629</v>
      </c>
      <c r="R208" s="10"/>
      <c r="S208" s="10"/>
    </row>
    <row r="209" spans="1:22" s="9" customFormat="1" ht="12.75" customHeight="1">
      <c r="A209" s="183"/>
      <c r="B209" s="73" t="s">
        <v>196</v>
      </c>
      <c r="C209" s="33">
        <v>54</v>
      </c>
      <c r="D209" s="33">
        <v>1980</v>
      </c>
      <c r="E209" s="74">
        <v>22.922</v>
      </c>
      <c r="F209" s="74">
        <v>6.211</v>
      </c>
      <c r="G209" s="74">
        <v>8.64</v>
      </c>
      <c r="H209" s="74">
        <v>8.071</v>
      </c>
      <c r="I209" s="75">
        <v>2956.41</v>
      </c>
      <c r="J209" s="74">
        <v>8.071</v>
      </c>
      <c r="K209" s="75">
        <v>2956.41</v>
      </c>
      <c r="L209" s="48">
        <f t="shared" si="37"/>
        <v>0.0027300002367736547</v>
      </c>
      <c r="M209" s="45">
        <v>267.81</v>
      </c>
      <c r="N209" s="45">
        <f t="shared" si="38"/>
        <v>0.7311213634103525</v>
      </c>
      <c r="O209" s="45">
        <f t="shared" si="39"/>
        <v>163.8000142064193</v>
      </c>
      <c r="P209" s="45">
        <f t="shared" si="40"/>
        <v>43.86728180462116</v>
      </c>
      <c r="Q209" s="10"/>
      <c r="R209" s="10"/>
      <c r="S209" s="10"/>
      <c r="T209" s="12"/>
      <c r="U209" s="13"/>
      <c r="V209" s="13"/>
    </row>
    <row r="210" spans="1:19" s="9" customFormat="1" ht="12.75" customHeight="1">
      <c r="A210" s="183"/>
      <c r="B210" s="122" t="s">
        <v>385</v>
      </c>
      <c r="C210" s="49">
        <v>25</v>
      </c>
      <c r="D210" s="57">
        <v>1993</v>
      </c>
      <c r="E210" s="145">
        <f>F210+G210+H210</f>
        <v>10.264002000000001</v>
      </c>
      <c r="F210" s="146">
        <v>2.6085480000000003</v>
      </c>
      <c r="G210" s="146">
        <v>4</v>
      </c>
      <c r="H210" s="146">
        <v>3.6554539999999998</v>
      </c>
      <c r="I210" s="147">
        <v>1334.51</v>
      </c>
      <c r="J210" s="146">
        <v>3.6554539999999998</v>
      </c>
      <c r="K210" s="147">
        <v>1334.51</v>
      </c>
      <c r="L210" s="148">
        <f t="shared" si="37"/>
        <v>0.002739173179668942</v>
      </c>
      <c r="M210" s="58">
        <v>315.01</v>
      </c>
      <c r="N210" s="58">
        <f t="shared" si="38"/>
        <v>0.8628669433275135</v>
      </c>
      <c r="O210" s="58">
        <f t="shared" si="39"/>
        <v>164.35039078013654</v>
      </c>
      <c r="P210" s="58">
        <f t="shared" si="40"/>
        <v>51.772016599650804</v>
      </c>
      <c r="R210" s="10"/>
      <c r="S210" s="10"/>
    </row>
    <row r="211" spans="1:22" s="9" customFormat="1" ht="12.75" customHeight="1">
      <c r="A211" s="183"/>
      <c r="B211" s="73" t="s">
        <v>124</v>
      </c>
      <c r="C211" s="33">
        <v>55</v>
      </c>
      <c r="D211" s="33">
        <v>1965</v>
      </c>
      <c r="E211" s="74">
        <v>18.3</v>
      </c>
      <c r="F211" s="74">
        <v>5.7868</v>
      </c>
      <c r="G211" s="74">
        <v>5.5</v>
      </c>
      <c r="H211" s="74">
        <f>E211-F211-G211</f>
        <v>7.013200000000001</v>
      </c>
      <c r="I211" s="75">
        <v>2553.64</v>
      </c>
      <c r="J211" s="74">
        <f>H211</f>
        <v>7.013200000000001</v>
      </c>
      <c r="K211" s="75">
        <f>I211</f>
        <v>2553.64</v>
      </c>
      <c r="L211" s="48">
        <f t="shared" si="37"/>
        <v>0.002746354223774691</v>
      </c>
      <c r="M211" s="45">
        <v>288.2</v>
      </c>
      <c r="N211" s="45">
        <f t="shared" si="38"/>
        <v>0.7914992872918659</v>
      </c>
      <c r="O211" s="45">
        <f t="shared" si="39"/>
        <v>164.78125342648144</v>
      </c>
      <c r="P211" s="45">
        <f t="shared" si="40"/>
        <v>47.489957237511945</v>
      </c>
      <c r="Q211" s="10"/>
      <c r="R211" s="10"/>
      <c r="S211" s="10"/>
      <c r="T211" s="12"/>
      <c r="U211" s="13"/>
      <c r="V211" s="13"/>
    </row>
    <row r="212" spans="1:19" s="9" customFormat="1" ht="13.5" customHeight="1">
      <c r="A212" s="183"/>
      <c r="B212" s="73" t="s">
        <v>86</v>
      </c>
      <c r="C212" s="33">
        <v>61</v>
      </c>
      <c r="D212" s="33">
        <v>1973</v>
      </c>
      <c r="E212" s="74">
        <v>20.52</v>
      </c>
      <c r="F212" s="74">
        <v>7.62</v>
      </c>
      <c r="G212" s="74">
        <v>5.47</v>
      </c>
      <c r="H212" s="74">
        <v>7.43</v>
      </c>
      <c r="I212" s="75">
        <v>2678.3</v>
      </c>
      <c r="J212" s="74">
        <f>H212/I212*K212</f>
        <v>7.429167755665906</v>
      </c>
      <c r="K212" s="33">
        <v>2678</v>
      </c>
      <c r="L212" s="48">
        <f t="shared" si="37"/>
        <v>0.002774147780308404</v>
      </c>
      <c r="M212" s="45">
        <v>332.56</v>
      </c>
      <c r="N212" s="45">
        <f t="shared" si="38"/>
        <v>0.9225705858193629</v>
      </c>
      <c r="O212" s="45">
        <f t="shared" si="39"/>
        <v>166.44886681850423</v>
      </c>
      <c r="P212" s="45">
        <f t="shared" si="40"/>
        <v>55.35423514916177</v>
      </c>
      <c r="Q212" s="11"/>
      <c r="R212" s="10"/>
      <c r="S212" s="10"/>
    </row>
    <row r="213" spans="1:16" s="9" customFormat="1" ht="13.5" customHeight="1">
      <c r="A213" s="183"/>
      <c r="B213" s="73" t="s">
        <v>87</v>
      </c>
      <c r="C213" s="33">
        <v>100</v>
      </c>
      <c r="D213" s="33">
        <v>1972</v>
      </c>
      <c r="E213" s="74">
        <v>35.25</v>
      </c>
      <c r="F213" s="74">
        <v>13.09</v>
      </c>
      <c r="G213" s="74">
        <v>9.78</v>
      </c>
      <c r="H213" s="74">
        <v>12.38</v>
      </c>
      <c r="I213" s="75">
        <v>4426.6</v>
      </c>
      <c r="J213" s="74">
        <f>H213/I213*K213</f>
        <v>12.381118691546558</v>
      </c>
      <c r="K213" s="33">
        <v>4427</v>
      </c>
      <c r="L213" s="48">
        <f t="shared" si="37"/>
        <v>0.00279672886639859</v>
      </c>
      <c r="M213" s="45">
        <v>332.56</v>
      </c>
      <c r="N213" s="45">
        <f t="shared" si="38"/>
        <v>0.9300801518095151</v>
      </c>
      <c r="O213" s="45">
        <f t="shared" si="39"/>
        <v>167.8037319839154</v>
      </c>
      <c r="P213" s="45">
        <f t="shared" si="40"/>
        <v>55.80480910857091</v>
      </c>
    </row>
    <row r="214" spans="1:19" s="9" customFormat="1" ht="12.75" customHeight="1">
      <c r="A214" s="183"/>
      <c r="B214" s="73" t="s">
        <v>543</v>
      </c>
      <c r="C214" s="33">
        <v>41</v>
      </c>
      <c r="D214" s="33" t="s">
        <v>31</v>
      </c>
      <c r="E214" s="74">
        <f aca="true" t="shared" si="41" ref="E214:E220">F214+G214+H214</f>
        <v>18.966</v>
      </c>
      <c r="F214" s="74">
        <v>5.8779</v>
      </c>
      <c r="G214" s="74">
        <v>6.56</v>
      </c>
      <c r="H214" s="74">
        <v>6.5281</v>
      </c>
      <c r="I214" s="75">
        <v>2326.63</v>
      </c>
      <c r="J214" s="74">
        <v>6.5281</v>
      </c>
      <c r="K214" s="75">
        <v>2326.63</v>
      </c>
      <c r="L214" s="48">
        <f t="shared" si="37"/>
        <v>0.0028058178567284013</v>
      </c>
      <c r="M214" s="45">
        <v>206.4</v>
      </c>
      <c r="N214" s="45">
        <f t="shared" si="38"/>
        <v>0.579120805628742</v>
      </c>
      <c r="O214" s="45">
        <f>L214*1000*60</f>
        <v>168.34907140370407</v>
      </c>
      <c r="P214" s="45">
        <f>N214*60</f>
        <v>34.74724833772452</v>
      </c>
      <c r="Q214" s="11"/>
      <c r="R214" s="10"/>
      <c r="S214" s="10"/>
    </row>
    <row r="215" spans="1:19" s="9" customFormat="1" ht="12.75">
      <c r="A215" s="183"/>
      <c r="B215" s="73" t="s">
        <v>739</v>
      </c>
      <c r="C215" s="33">
        <v>29</v>
      </c>
      <c r="D215" s="33" t="s">
        <v>31</v>
      </c>
      <c r="E215" s="74">
        <f t="shared" si="41"/>
        <v>12.600000000000001</v>
      </c>
      <c r="F215" s="74">
        <v>3.436</v>
      </c>
      <c r="G215" s="74">
        <v>4.64</v>
      </c>
      <c r="H215" s="74">
        <v>4.524</v>
      </c>
      <c r="I215" s="75">
        <v>1612.1</v>
      </c>
      <c r="J215" s="74">
        <v>4.524</v>
      </c>
      <c r="K215" s="75">
        <v>1612.1</v>
      </c>
      <c r="L215" s="48">
        <f t="shared" si="37"/>
        <v>0.0028062775262080518</v>
      </c>
      <c r="M215" s="45">
        <v>361.99</v>
      </c>
      <c r="N215" s="45">
        <f t="shared" si="38"/>
        <v>1.0158444017120527</v>
      </c>
      <c r="O215" s="45">
        <f>L215*60*1000</f>
        <v>168.3766515724831</v>
      </c>
      <c r="P215" s="45">
        <f>O215*M215/1000</f>
        <v>60.95066410272316</v>
      </c>
      <c r="Q215" s="11"/>
      <c r="R215" s="10"/>
      <c r="S215" s="10"/>
    </row>
    <row r="216" spans="1:19" s="9" customFormat="1" ht="12.75">
      <c r="A216" s="183"/>
      <c r="B216" s="73" t="s">
        <v>544</v>
      </c>
      <c r="C216" s="33">
        <v>60</v>
      </c>
      <c r="D216" s="33" t="s">
        <v>31</v>
      </c>
      <c r="E216" s="74">
        <f t="shared" si="41"/>
        <v>23.415</v>
      </c>
      <c r="F216" s="74">
        <v>4.985</v>
      </c>
      <c r="G216" s="74">
        <v>9.6</v>
      </c>
      <c r="H216" s="74">
        <v>8.83</v>
      </c>
      <c r="I216" s="75">
        <v>3137.37</v>
      </c>
      <c r="J216" s="74">
        <v>8.83</v>
      </c>
      <c r="K216" s="75">
        <v>3137.37</v>
      </c>
      <c r="L216" s="48">
        <f t="shared" si="37"/>
        <v>0.0028144592445264664</v>
      </c>
      <c r="M216" s="45">
        <v>206.4</v>
      </c>
      <c r="N216" s="45">
        <f t="shared" si="38"/>
        <v>0.5809043880702627</v>
      </c>
      <c r="O216" s="45">
        <f>L216*1000*60</f>
        <v>168.86755467158798</v>
      </c>
      <c r="P216" s="45">
        <f>N216*60</f>
        <v>34.85426328421576</v>
      </c>
      <c r="R216" s="10"/>
      <c r="S216" s="10"/>
    </row>
    <row r="217" spans="1:19" s="9" customFormat="1" ht="12.75">
      <c r="A217" s="183"/>
      <c r="B217" s="73" t="s">
        <v>505</v>
      </c>
      <c r="C217" s="75">
        <v>45</v>
      </c>
      <c r="D217" s="33" t="s">
        <v>31</v>
      </c>
      <c r="E217" s="74">
        <f t="shared" si="41"/>
        <v>21.098387000000002</v>
      </c>
      <c r="F217" s="74">
        <v>5.61</v>
      </c>
      <c r="G217" s="74">
        <v>7.2</v>
      </c>
      <c r="H217" s="74">
        <v>8.288387</v>
      </c>
      <c r="I217" s="75">
        <v>2937.81</v>
      </c>
      <c r="J217" s="74">
        <v>8.288391</v>
      </c>
      <c r="K217" s="75">
        <v>2937.81</v>
      </c>
      <c r="L217" s="48">
        <f t="shared" si="37"/>
        <v>0.0028212821795827506</v>
      </c>
      <c r="M217" s="45">
        <v>221.4</v>
      </c>
      <c r="N217" s="45">
        <f t="shared" si="38"/>
        <v>0.624631874559621</v>
      </c>
      <c r="O217" s="45">
        <f aca="true" t="shared" si="42" ref="O217:O230">L217*60*1000</f>
        <v>169.27693077496502</v>
      </c>
      <c r="P217" s="45">
        <f aca="true" t="shared" si="43" ref="P217:P224">O217*M217/1000</f>
        <v>37.477912473577256</v>
      </c>
      <c r="R217" s="10"/>
      <c r="S217" s="10"/>
    </row>
    <row r="218" spans="1:19" s="9" customFormat="1" ht="12.75">
      <c r="A218" s="183"/>
      <c r="B218" s="73" t="s">
        <v>506</v>
      </c>
      <c r="C218" s="75">
        <v>75</v>
      </c>
      <c r="D218" s="33" t="s">
        <v>31</v>
      </c>
      <c r="E218" s="74">
        <f t="shared" si="41"/>
        <v>29.348774</v>
      </c>
      <c r="F218" s="74">
        <v>6.222</v>
      </c>
      <c r="G218" s="74">
        <v>11.84</v>
      </c>
      <c r="H218" s="74">
        <v>11.286774</v>
      </c>
      <c r="I218" s="75">
        <v>3992.51</v>
      </c>
      <c r="J218" s="74">
        <v>11.286775</v>
      </c>
      <c r="K218" s="75">
        <v>3992.51</v>
      </c>
      <c r="L218" s="48">
        <f t="shared" si="37"/>
        <v>0.002826987283688707</v>
      </c>
      <c r="M218" s="45">
        <v>221.4</v>
      </c>
      <c r="N218" s="45">
        <f t="shared" si="38"/>
        <v>0.6258949846086798</v>
      </c>
      <c r="O218" s="45">
        <f t="shared" si="42"/>
        <v>169.61923702132242</v>
      </c>
      <c r="P218" s="45">
        <f t="shared" si="43"/>
        <v>37.55369907652078</v>
      </c>
      <c r="R218" s="10"/>
      <c r="S218" s="10"/>
    </row>
    <row r="219" spans="1:19" s="9" customFormat="1" ht="12.75">
      <c r="A219" s="183"/>
      <c r="B219" s="122" t="s">
        <v>386</v>
      </c>
      <c r="C219" s="49">
        <v>98</v>
      </c>
      <c r="D219" s="57">
        <v>1974</v>
      </c>
      <c r="E219" s="145">
        <f t="shared" si="41"/>
        <v>35.400004</v>
      </c>
      <c r="F219" s="146">
        <v>8.919288</v>
      </c>
      <c r="G219" s="146">
        <v>16</v>
      </c>
      <c r="H219" s="146">
        <v>10.480716</v>
      </c>
      <c r="I219" s="147">
        <v>3705.7000000000003</v>
      </c>
      <c r="J219" s="146">
        <v>10.480716</v>
      </c>
      <c r="K219" s="147">
        <v>3705.7000000000003</v>
      </c>
      <c r="L219" s="148">
        <f t="shared" si="37"/>
        <v>0.0028282688830720236</v>
      </c>
      <c r="M219" s="58">
        <v>315.01</v>
      </c>
      <c r="N219" s="58">
        <f t="shared" si="38"/>
        <v>0.8909329808565182</v>
      </c>
      <c r="O219" s="58">
        <f t="shared" si="42"/>
        <v>169.6961329843214</v>
      </c>
      <c r="P219" s="58">
        <f t="shared" si="43"/>
        <v>53.45597885139108</v>
      </c>
      <c r="R219" s="10"/>
      <c r="S219" s="10"/>
    </row>
    <row r="220" spans="1:19" s="9" customFormat="1" ht="12.75">
      <c r="A220" s="183"/>
      <c r="B220" s="73" t="s">
        <v>507</v>
      </c>
      <c r="C220" s="75">
        <v>40</v>
      </c>
      <c r="D220" s="33" t="s">
        <v>31</v>
      </c>
      <c r="E220" s="74">
        <f t="shared" si="41"/>
        <v>16.576999999999998</v>
      </c>
      <c r="F220" s="74">
        <v>1.53</v>
      </c>
      <c r="G220" s="74">
        <v>4.1</v>
      </c>
      <c r="H220" s="74">
        <v>10.947</v>
      </c>
      <c r="I220" s="75">
        <v>3862.18</v>
      </c>
      <c r="J220" s="74">
        <v>10.947001</v>
      </c>
      <c r="K220" s="75">
        <v>3862.18</v>
      </c>
      <c r="L220" s="48">
        <f t="shared" si="37"/>
        <v>0.002834409841074212</v>
      </c>
      <c r="M220" s="45">
        <v>221.4</v>
      </c>
      <c r="N220" s="45">
        <f t="shared" si="38"/>
        <v>0.6275383388138306</v>
      </c>
      <c r="O220" s="45">
        <f t="shared" si="42"/>
        <v>170.06459046445272</v>
      </c>
      <c r="P220" s="45">
        <f t="shared" si="43"/>
        <v>37.65230032882984</v>
      </c>
      <c r="R220" s="10"/>
      <c r="S220" s="10"/>
    </row>
    <row r="221" spans="1:19" s="9" customFormat="1" ht="12.75" customHeight="1">
      <c r="A221" s="183"/>
      <c r="B221" s="73" t="s">
        <v>88</v>
      </c>
      <c r="C221" s="33">
        <v>61</v>
      </c>
      <c r="D221" s="33">
        <v>1975</v>
      </c>
      <c r="E221" s="74">
        <v>27.91</v>
      </c>
      <c r="F221" s="74">
        <v>7.97</v>
      </c>
      <c r="G221" s="74">
        <v>9.6</v>
      </c>
      <c r="H221" s="74">
        <f>E221-F221-G221</f>
        <v>10.340000000000002</v>
      </c>
      <c r="I221" s="75">
        <v>3635</v>
      </c>
      <c r="J221" s="74">
        <f>H221/I221*K221</f>
        <v>10.340000000000002</v>
      </c>
      <c r="K221" s="33">
        <v>3635</v>
      </c>
      <c r="L221" s="48">
        <f t="shared" si="37"/>
        <v>0.0028445667125171943</v>
      </c>
      <c r="M221" s="45">
        <v>332.56</v>
      </c>
      <c r="N221" s="45">
        <f t="shared" si="38"/>
        <v>0.9459891059147182</v>
      </c>
      <c r="O221" s="45">
        <f t="shared" si="42"/>
        <v>170.67400275103168</v>
      </c>
      <c r="P221" s="45">
        <f t="shared" si="43"/>
        <v>56.7593463548831</v>
      </c>
      <c r="R221" s="10"/>
      <c r="S221" s="10"/>
    </row>
    <row r="222" spans="1:19" s="9" customFormat="1" ht="12.75">
      <c r="A222" s="183"/>
      <c r="B222" s="73" t="s">
        <v>624</v>
      </c>
      <c r="C222" s="33">
        <v>60</v>
      </c>
      <c r="D222" s="33" t="s">
        <v>31</v>
      </c>
      <c r="E222" s="56">
        <f>F222+G222+H222</f>
        <v>16.6</v>
      </c>
      <c r="F222" s="56">
        <v>6.4</v>
      </c>
      <c r="G222" s="56">
        <v>0.6</v>
      </c>
      <c r="H222" s="56">
        <v>9.6</v>
      </c>
      <c r="I222" s="75">
        <v>3373.53</v>
      </c>
      <c r="J222" s="56">
        <v>9.6</v>
      </c>
      <c r="K222" s="75">
        <v>3373.5</v>
      </c>
      <c r="L222" s="142">
        <f t="shared" si="37"/>
        <v>0.0028457092040907067</v>
      </c>
      <c r="M222" s="55">
        <v>209.8</v>
      </c>
      <c r="N222" s="141">
        <f t="shared" si="38"/>
        <v>0.5970297910182303</v>
      </c>
      <c r="O222" s="141">
        <f t="shared" si="42"/>
        <v>170.7425522454424</v>
      </c>
      <c r="P222" s="141">
        <f t="shared" si="43"/>
        <v>35.82178746109382</v>
      </c>
      <c r="R222" s="10"/>
      <c r="S222" s="10"/>
    </row>
    <row r="223" spans="1:19" s="9" customFormat="1" ht="12.75" customHeight="1">
      <c r="A223" s="183"/>
      <c r="B223" s="73" t="s">
        <v>872</v>
      </c>
      <c r="C223" s="33">
        <v>30</v>
      </c>
      <c r="D223" s="33">
        <v>1990</v>
      </c>
      <c r="E223" s="74">
        <f>F223+G223+H223</f>
        <v>12.116997999999999</v>
      </c>
      <c r="F223" s="74">
        <v>2.43954</v>
      </c>
      <c r="G223" s="74">
        <v>5.1</v>
      </c>
      <c r="H223" s="74">
        <v>4.577458</v>
      </c>
      <c r="I223" s="75">
        <v>1607</v>
      </c>
      <c r="J223" s="74">
        <f>H223</f>
        <v>4.577458</v>
      </c>
      <c r="K223" s="75">
        <f>I223</f>
        <v>1607</v>
      </c>
      <c r="L223" s="48">
        <f t="shared" si="37"/>
        <v>0.002848449284380834</v>
      </c>
      <c r="M223" s="45">
        <f>337.7*1.09</f>
        <v>368.093</v>
      </c>
      <c r="N223" s="45">
        <f t="shared" si="38"/>
        <v>1.0484942424355943</v>
      </c>
      <c r="O223" s="45">
        <f t="shared" si="42"/>
        <v>170.90695706285004</v>
      </c>
      <c r="P223" s="45">
        <f t="shared" si="43"/>
        <v>62.90965454613566</v>
      </c>
      <c r="Q223" s="11"/>
      <c r="R223" s="10"/>
      <c r="S223" s="10"/>
    </row>
    <row r="224" spans="1:19" s="9" customFormat="1" ht="12.75">
      <c r="A224" s="183"/>
      <c r="B224" s="73" t="s">
        <v>740</v>
      </c>
      <c r="C224" s="33">
        <v>12</v>
      </c>
      <c r="D224" s="33" t="s">
        <v>31</v>
      </c>
      <c r="E224" s="74">
        <f>F224+G224+H224</f>
        <v>3.943</v>
      </c>
      <c r="F224" s="74">
        <v>0</v>
      </c>
      <c r="G224" s="74">
        <v>1.92</v>
      </c>
      <c r="H224" s="74">
        <v>2.023</v>
      </c>
      <c r="I224" s="75">
        <v>710.12</v>
      </c>
      <c r="J224" s="74">
        <v>2.023</v>
      </c>
      <c r="K224" s="75">
        <v>710.12</v>
      </c>
      <c r="L224" s="48">
        <f t="shared" si="37"/>
        <v>0.0028488142849095927</v>
      </c>
      <c r="M224" s="45">
        <v>361.99</v>
      </c>
      <c r="N224" s="45">
        <f t="shared" si="38"/>
        <v>1.0312422829944234</v>
      </c>
      <c r="O224" s="45">
        <f t="shared" si="42"/>
        <v>170.92885709457556</v>
      </c>
      <c r="P224" s="45">
        <f t="shared" si="43"/>
        <v>61.874536979665415</v>
      </c>
      <c r="R224" s="10"/>
      <c r="S224" s="10"/>
    </row>
    <row r="225" spans="1:19" s="9" customFormat="1" ht="12.75">
      <c r="A225" s="183"/>
      <c r="B225" s="73" t="s">
        <v>815</v>
      </c>
      <c r="C225" s="33">
        <v>39</v>
      </c>
      <c r="D225" s="33">
        <v>1992</v>
      </c>
      <c r="E225" s="74">
        <f>SUM(F225+G225+H225)</f>
        <v>17.1</v>
      </c>
      <c r="F225" s="74">
        <v>4.4</v>
      </c>
      <c r="G225" s="74">
        <v>6.2</v>
      </c>
      <c r="H225" s="74">
        <v>6.5</v>
      </c>
      <c r="I225" s="75">
        <v>2279.7</v>
      </c>
      <c r="J225" s="74">
        <v>6.5</v>
      </c>
      <c r="K225" s="75">
        <v>2279.7</v>
      </c>
      <c r="L225" s="48">
        <f>SUM(J225/K225)</f>
        <v>0.002851252357766373</v>
      </c>
      <c r="M225" s="45">
        <v>214.3</v>
      </c>
      <c r="N225" s="45">
        <f>SUM(L225*M225)</f>
        <v>0.6110233802693338</v>
      </c>
      <c r="O225" s="45">
        <f t="shared" si="42"/>
        <v>171.07514146598237</v>
      </c>
      <c r="P225" s="45">
        <f>SUM(N225*60)</f>
        <v>36.66140281616003</v>
      </c>
      <c r="Q225" s="11"/>
      <c r="R225" s="10"/>
      <c r="S225" s="10"/>
    </row>
    <row r="226" spans="1:19" s="9" customFormat="1" ht="12.75">
      <c r="A226" s="183"/>
      <c r="B226" s="121" t="s">
        <v>255</v>
      </c>
      <c r="C226" s="59">
        <v>50</v>
      </c>
      <c r="D226" s="59">
        <v>1974</v>
      </c>
      <c r="E226" s="74">
        <v>18.955</v>
      </c>
      <c r="F226" s="74">
        <v>3.519</v>
      </c>
      <c r="G226" s="74">
        <v>8</v>
      </c>
      <c r="H226" s="74">
        <v>7.436</v>
      </c>
      <c r="I226" s="75">
        <v>2591.85</v>
      </c>
      <c r="J226" s="74">
        <v>7.436</v>
      </c>
      <c r="K226" s="75">
        <v>2591.85</v>
      </c>
      <c r="L226" s="48">
        <f aca="true" t="shared" si="44" ref="L226:L256">J226/K226</f>
        <v>0.002868993190192334</v>
      </c>
      <c r="M226" s="45">
        <v>343.459</v>
      </c>
      <c r="N226" s="45">
        <f aca="true" t="shared" si="45" ref="N226:N256">L226*M226</f>
        <v>0.9853815321102688</v>
      </c>
      <c r="O226" s="45">
        <f t="shared" si="42"/>
        <v>172.13959141154004</v>
      </c>
      <c r="P226" s="45">
        <f>O226*M226/1000</f>
        <v>59.122891926616134</v>
      </c>
      <c r="R226" s="10"/>
      <c r="S226" s="10"/>
    </row>
    <row r="227" spans="1:19" s="9" customFormat="1" ht="12.75">
      <c r="A227" s="183"/>
      <c r="B227" s="92" t="s">
        <v>165</v>
      </c>
      <c r="C227" s="93">
        <v>103</v>
      </c>
      <c r="D227" s="33" t="s">
        <v>31</v>
      </c>
      <c r="E227" s="94">
        <v>36.75</v>
      </c>
      <c r="F227" s="94">
        <v>8.01</v>
      </c>
      <c r="G227" s="94">
        <v>16</v>
      </c>
      <c r="H227" s="94">
        <v>12.74</v>
      </c>
      <c r="I227" s="93">
        <v>4437.08</v>
      </c>
      <c r="J227" s="94">
        <v>12.74</v>
      </c>
      <c r="K227" s="93">
        <v>4437.08</v>
      </c>
      <c r="L227" s="48">
        <f t="shared" si="44"/>
        <v>0.0028712576739657616</v>
      </c>
      <c r="M227" s="45">
        <v>256</v>
      </c>
      <c r="N227" s="45">
        <f t="shared" si="45"/>
        <v>0.735041964535235</v>
      </c>
      <c r="O227" s="45">
        <f t="shared" si="42"/>
        <v>172.2754604379457</v>
      </c>
      <c r="P227" s="45">
        <f>O227*M227/1000</f>
        <v>44.1025178721141</v>
      </c>
      <c r="R227" s="10"/>
      <c r="S227" s="10"/>
    </row>
    <row r="228" spans="1:19" s="9" customFormat="1" ht="12.75">
      <c r="A228" s="183"/>
      <c r="B228" s="73" t="s">
        <v>508</v>
      </c>
      <c r="C228" s="75">
        <v>76</v>
      </c>
      <c r="D228" s="33" t="s">
        <v>31</v>
      </c>
      <c r="E228" s="74">
        <f>F228+G228+H228</f>
        <v>29.34375</v>
      </c>
      <c r="F228" s="74">
        <v>5.763</v>
      </c>
      <c r="G228" s="74">
        <v>12</v>
      </c>
      <c r="H228" s="74">
        <v>11.58075</v>
      </c>
      <c r="I228" s="75">
        <v>4006.48</v>
      </c>
      <c r="J228" s="74">
        <v>11.580751</v>
      </c>
      <c r="K228" s="75">
        <v>4006.48</v>
      </c>
      <c r="L228" s="48">
        <f t="shared" si="44"/>
        <v>0.0028905051316866675</v>
      </c>
      <c r="M228" s="45">
        <v>221.4</v>
      </c>
      <c r="N228" s="45">
        <f t="shared" si="45"/>
        <v>0.6399578361554282</v>
      </c>
      <c r="O228" s="45">
        <f t="shared" si="42"/>
        <v>173.43030790120002</v>
      </c>
      <c r="P228" s="45">
        <f>O228*M228/1000</f>
        <v>38.397470169325686</v>
      </c>
      <c r="R228" s="72"/>
      <c r="S228" s="10"/>
    </row>
    <row r="229" spans="1:25" s="9" customFormat="1" ht="12.75" customHeight="1">
      <c r="A229" s="183"/>
      <c r="B229" s="73" t="s">
        <v>741</v>
      </c>
      <c r="C229" s="33">
        <v>20</v>
      </c>
      <c r="D229" s="33" t="s">
        <v>31</v>
      </c>
      <c r="E229" s="74">
        <f>F229+G229+H229</f>
        <v>8.701</v>
      </c>
      <c r="F229" s="74">
        <v>2.161</v>
      </c>
      <c r="G229" s="74">
        <v>3.2</v>
      </c>
      <c r="H229" s="74">
        <v>3.34</v>
      </c>
      <c r="I229" s="75">
        <v>1143.7</v>
      </c>
      <c r="J229" s="74">
        <v>3.34</v>
      </c>
      <c r="K229" s="75">
        <v>1143.7</v>
      </c>
      <c r="L229" s="48">
        <f t="shared" si="44"/>
        <v>0.0029203462446445744</v>
      </c>
      <c r="M229" s="45">
        <v>361.99</v>
      </c>
      <c r="N229" s="45">
        <f t="shared" si="45"/>
        <v>1.0571361370988894</v>
      </c>
      <c r="O229" s="45">
        <f t="shared" si="42"/>
        <v>175.22077467867447</v>
      </c>
      <c r="P229" s="45">
        <f>O229*M229/1000</f>
        <v>63.428168225933376</v>
      </c>
      <c r="Q229" s="10"/>
      <c r="R229" s="10"/>
      <c r="S229" s="10"/>
      <c r="T229" s="12"/>
      <c r="U229" s="13"/>
      <c r="V229" s="13"/>
      <c r="X229" s="14"/>
      <c r="Y229" s="14"/>
    </row>
    <row r="230" spans="1:19" s="9" customFormat="1" ht="12.75" customHeight="1">
      <c r="A230" s="183"/>
      <c r="B230" s="121" t="s">
        <v>469</v>
      </c>
      <c r="C230" s="59">
        <v>39</v>
      </c>
      <c r="D230" s="59">
        <v>2007</v>
      </c>
      <c r="E230" s="56">
        <v>9.84</v>
      </c>
      <c r="F230" s="56">
        <v>1.836</v>
      </c>
      <c r="G230" s="56" t="s">
        <v>451</v>
      </c>
      <c r="H230" s="56">
        <v>8.004</v>
      </c>
      <c r="I230" s="143">
        <v>2880.53</v>
      </c>
      <c r="J230" s="56">
        <v>7.24</v>
      </c>
      <c r="K230" s="143">
        <v>2457.47</v>
      </c>
      <c r="L230" s="142">
        <f t="shared" si="44"/>
        <v>0.00294611938294262</v>
      </c>
      <c r="M230" s="55">
        <v>329.943</v>
      </c>
      <c r="N230" s="141">
        <f t="shared" si="45"/>
        <v>0.9720514675662368</v>
      </c>
      <c r="O230" s="141">
        <f t="shared" si="42"/>
        <v>176.7671629765572</v>
      </c>
      <c r="P230" s="141">
        <f>O230*M230/1000</f>
        <v>58.3230880539742</v>
      </c>
      <c r="R230" s="10"/>
      <c r="S230" s="10"/>
    </row>
    <row r="231" spans="1:19" s="9" customFormat="1" ht="12.75">
      <c r="A231" s="183"/>
      <c r="B231" s="73" t="s">
        <v>545</v>
      </c>
      <c r="C231" s="33">
        <v>30</v>
      </c>
      <c r="D231" s="33" t="s">
        <v>31</v>
      </c>
      <c r="E231" s="74">
        <f>F231+G231+H231</f>
        <v>12.8241</v>
      </c>
      <c r="F231" s="74">
        <v>2.98</v>
      </c>
      <c r="G231" s="74">
        <v>4.8</v>
      </c>
      <c r="H231" s="74">
        <v>5.0441</v>
      </c>
      <c r="I231" s="75">
        <v>1709.2</v>
      </c>
      <c r="J231" s="74">
        <v>5.0441</v>
      </c>
      <c r="K231" s="75">
        <v>1709.2</v>
      </c>
      <c r="L231" s="48">
        <f t="shared" si="44"/>
        <v>0.0029511467353147674</v>
      </c>
      <c r="M231" s="45">
        <v>206.4</v>
      </c>
      <c r="N231" s="45">
        <f t="shared" si="45"/>
        <v>0.609116686168968</v>
      </c>
      <c r="O231" s="45">
        <f>L231*1000*60</f>
        <v>177.06880411888605</v>
      </c>
      <c r="P231" s="45">
        <f>N231*60</f>
        <v>36.54700117013808</v>
      </c>
      <c r="R231" s="10"/>
      <c r="S231" s="10"/>
    </row>
    <row r="232" spans="1:19" s="9" customFormat="1" ht="12.75" customHeight="1">
      <c r="A232" s="183"/>
      <c r="B232" s="73" t="s">
        <v>742</v>
      </c>
      <c r="C232" s="33">
        <v>12</v>
      </c>
      <c r="D232" s="33" t="s">
        <v>31</v>
      </c>
      <c r="E232" s="74">
        <f>F232+G232+H232</f>
        <v>3.98</v>
      </c>
      <c r="F232" s="74">
        <v>0</v>
      </c>
      <c r="G232" s="74">
        <v>1.92</v>
      </c>
      <c r="H232" s="74">
        <v>2.06</v>
      </c>
      <c r="I232" s="75">
        <v>695.88</v>
      </c>
      <c r="J232" s="74">
        <v>2.06</v>
      </c>
      <c r="K232" s="75">
        <v>695.88</v>
      </c>
      <c r="L232" s="48">
        <f t="shared" si="44"/>
        <v>0.0029602805081335865</v>
      </c>
      <c r="M232" s="45">
        <v>361.99</v>
      </c>
      <c r="N232" s="45">
        <f t="shared" si="45"/>
        <v>1.071591941139277</v>
      </c>
      <c r="O232" s="45">
        <f>L232*60*1000</f>
        <v>177.61683048801518</v>
      </c>
      <c r="P232" s="45">
        <f>O232*M232/1000</f>
        <v>64.29551646835662</v>
      </c>
      <c r="R232" s="10"/>
      <c r="S232" s="10"/>
    </row>
    <row r="233" spans="1:19" s="9" customFormat="1" ht="12.75">
      <c r="A233" s="183"/>
      <c r="B233" s="73" t="s">
        <v>546</v>
      </c>
      <c r="C233" s="33">
        <v>30</v>
      </c>
      <c r="D233" s="33" t="s">
        <v>31</v>
      </c>
      <c r="E233" s="74">
        <f>F233+G233+H233</f>
        <v>13.4022</v>
      </c>
      <c r="F233" s="74">
        <v>3.5059</v>
      </c>
      <c r="G233" s="74">
        <v>4.8</v>
      </c>
      <c r="H233" s="74">
        <v>5.0963</v>
      </c>
      <c r="I233" s="75">
        <v>1713.36</v>
      </c>
      <c r="J233" s="74">
        <v>5.0963</v>
      </c>
      <c r="K233" s="75">
        <v>1713.36</v>
      </c>
      <c r="L233" s="48">
        <f t="shared" si="44"/>
        <v>0.0029744478685156655</v>
      </c>
      <c r="M233" s="45">
        <v>206.4</v>
      </c>
      <c r="N233" s="45">
        <f t="shared" si="45"/>
        <v>0.6139260400616334</v>
      </c>
      <c r="O233" s="45">
        <f>L233*1000*60</f>
        <v>178.46687211093993</v>
      </c>
      <c r="P233" s="45">
        <f>N233*60</f>
        <v>36.835562403698006</v>
      </c>
      <c r="R233" s="10"/>
      <c r="S233" s="10"/>
    </row>
    <row r="234" spans="1:19" s="9" customFormat="1" ht="12.75">
      <c r="A234" s="183"/>
      <c r="B234" s="73" t="s">
        <v>625</v>
      </c>
      <c r="C234" s="33">
        <v>80</v>
      </c>
      <c r="D234" s="33" t="s">
        <v>31</v>
      </c>
      <c r="E234" s="56">
        <f>F234+G234+H234</f>
        <v>29.7</v>
      </c>
      <c r="F234" s="56">
        <v>5.6</v>
      </c>
      <c r="G234" s="56">
        <v>12.1</v>
      </c>
      <c r="H234" s="56">
        <v>12</v>
      </c>
      <c r="I234" s="75">
        <v>3919.9</v>
      </c>
      <c r="J234" s="56">
        <v>11</v>
      </c>
      <c r="K234" s="75">
        <v>3686.36</v>
      </c>
      <c r="L234" s="142">
        <f t="shared" si="44"/>
        <v>0.0029839733504052777</v>
      </c>
      <c r="M234" s="55">
        <v>209.8</v>
      </c>
      <c r="N234" s="141">
        <f t="shared" si="45"/>
        <v>0.6260376089150272</v>
      </c>
      <c r="O234" s="141">
        <f aca="true" t="shared" si="46" ref="O234:O242">L234*60*1000</f>
        <v>179.03840102431667</v>
      </c>
      <c r="P234" s="141">
        <f aca="true" t="shared" si="47" ref="P234:P242">O234*M234/1000</f>
        <v>37.562256534901636</v>
      </c>
      <c r="R234" s="10"/>
      <c r="S234" s="10"/>
    </row>
    <row r="235" spans="1:19" s="9" customFormat="1" ht="13.5" thickBot="1">
      <c r="A235" s="217"/>
      <c r="B235" s="211" t="s">
        <v>125</v>
      </c>
      <c r="C235" s="212">
        <v>25</v>
      </c>
      <c r="D235" s="212">
        <v>1972</v>
      </c>
      <c r="E235" s="213">
        <v>11.1</v>
      </c>
      <c r="F235" s="213">
        <v>4.709</v>
      </c>
      <c r="G235" s="213">
        <v>2.5</v>
      </c>
      <c r="H235" s="213">
        <f>E235-F235-G235</f>
        <v>3.891</v>
      </c>
      <c r="I235" s="214">
        <v>1301.76</v>
      </c>
      <c r="J235" s="213">
        <f>H235</f>
        <v>3.891</v>
      </c>
      <c r="K235" s="214">
        <f>I235</f>
        <v>1301.76</v>
      </c>
      <c r="L235" s="215">
        <f t="shared" si="44"/>
        <v>0.0029890302359882005</v>
      </c>
      <c r="M235" s="216">
        <v>288.2</v>
      </c>
      <c r="N235" s="216">
        <f t="shared" si="45"/>
        <v>0.8614385140117994</v>
      </c>
      <c r="O235" s="216">
        <f t="shared" si="46"/>
        <v>179.34181415929203</v>
      </c>
      <c r="P235" s="216">
        <f t="shared" si="47"/>
        <v>51.68631084070796</v>
      </c>
      <c r="R235" s="10"/>
      <c r="S235" s="10"/>
    </row>
    <row r="236" spans="1:23" s="9" customFormat="1" ht="12.75">
      <c r="A236" s="181" t="s">
        <v>25</v>
      </c>
      <c r="B236" s="205" t="s">
        <v>509</v>
      </c>
      <c r="C236" s="206">
        <v>53</v>
      </c>
      <c r="D236" s="207" t="s">
        <v>31</v>
      </c>
      <c r="E236" s="208">
        <f>F236+G236+H236</f>
        <v>19.349516</v>
      </c>
      <c r="F236" s="208">
        <v>3.519</v>
      </c>
      <c r="G236" s="208">
        <v>8.24</v>
      </c>
      <c r="H236" s="208">
        <v>7.590516</v>
      </c>
      <c r="I236" s="206">
        <v>2517.62</v>
      </c>
      <c r="J236" s="208">
        <v>7.590519</v>
      </c>
      <c r="K236" s="206">
        <v>2517.62</v>
      </c>
      <c r="L236" s="209">
        <f t="shared" si="44"/>
        <v>0.0030149581747841215</v>
      </c>
      <c r="M236" s="210">
        <v>221.4</v>
      </c>
      <c r="N236" s="210">
        <f t="shared" si="45"/>
        <v>0.6675117398972045</v>
      </c>
      <c r="O236" s="210">
        <f t="shared" si="46"/>
        <v>180.8974904870473</v>
      </c>
      <c r="P236" s="210">
        <f t="shared" si="47"/>
        <v>40.05070439383228</v>
      </c>
      <c r="Q236" s="10"/>
      <c r="R236" s="10"/>
      <c r="S236" s="10"/>
      <c r="T236" s="12"/>
      <c r="U236" s="15"/>
      <c r="V236" s="15"/>
      <c r="W236" s="16"/>
    </row>
    <row r="237" spans="1:19" s="9" customFormat="1" ht="12.75">
      <c r="A237" s="181"/>
      <c r="B237" s="117" t="s">
        <v>256</v>
      </c>
      <c r="C237" s="53">
        <v>40</v>
      </c>
      <c r="D237" s="53">
        <v>1981</v>
      </c>
      <c r="E237" s="80">
        <v>15.962</v>
      </c>
      <c r="F237" s="80">
        <v>2.754</v>
      </c>
      <c r="G237" s="80">
        <v>6.4</v>
      </c>
      <c r="H237" s="80">
        <v>6.808</v>
      </c>
      <c r="I237" s="81">
        <v>2251.3</v>
      </c>
      <c r="J237" s="80">
        <v>6.808</v>
      </c>
      <c r="K237" s="81">
        <v>2251.3</v>
      </c>
      <c r="L237" s="36">
        <f t="shared" si="44"/>
        <v>0.0030240305601208187</v>
      </c>
      <c r="M237" s="35">
        <v>343.459</v>
      </c>
      <c r="N237" s="35">
        <f t="shared" si="45"/>
        <v>1.0386305121485362</v>
      </c>
      <c r="O237" s="35">
        <f t="shared" si="46"/>
        <v>181.44183360724912</v>
      </c>
      <c r="P237" s="35">
        <f t="shared" si="47"/>
        <v>62.31783072891218</v>
      </c>
      <c r="R237" s="10"/>
      <c r="S237" s="10"/>
    </row>
    <row r="238" spans="1:19" s="9" customFormat="1" ht="12.75">
      <c r="A238" s="181"/>
      <c r="B238" s="123" t="s">
        <v>387</v>
      </c>
      <c r="C238" s="50">
        <v>24</v>
      </c>
      <c r="D238" s="62">
        <v>1963</v>
      </c>
      <c r="E238" s="149">
        <f>F238+G238+H238</f>
        <v>9.002220000000001</v>
      </c>
      <c r="F238" s="150">
        <v>2.091</v>
      </c>
      <c r="G238" s="150">
        <v>3.68</v>
      </c>
      <c r="H238" s="150">
        <v>3.2312200000000004</v>
      </c>
      <c r="I238" s="151">
        <v>1110.41</v>
      </c>
      <c r="J238" s="150">
        <v>3.2312200000000004</v>
      </c>
      <c r="K238" s="151">
        <v>1062.19</v>
      </c>
      <c r="L238" s="152">
        <f t="shared" si="44"/>
        <v>0.00304203579397283</v>
      </c>
      <c r="M238" s="61">
        <v>315.01</v>
      </c>
      <c r="N238" s="61">
        <f t="shared" si="45"/>
        <v>0.9582716954593812</v>
      </c>
      <c r="O238" s="61">
        <f t="shared" si="46"/>
        <v>182.5221476383698</v>
      </c>
      <c r="P238" s="61">
        <f t="shared" si="47"/>
        <v>57.496301727562866</v>
      </c>
      <c r="R238" s="10"/>
      <c r="S238" s="10"/>
    </row>
    <row r="239" spans="1:19" s="9" customFormat="1" ht="12.75">
      <c r="A239" s="181"/>
      <c r="B239" s="123" t="s">
        <v>388</v>
      </c>
      <c r="C239" s="50">
        <v>58</v>
      </c>
      <c r="D239" s="62">
        <v>1991</v>
      </c>
      <c r="E239" s="149">
        <f>F239+G239+H239</f>
        <v>20.179994</v>
      </c>
      <c r="F239" s="150">
        <v>3.2948039999999996</v>
      </c>
      <c r="G239" s="150">
        <v>9.44</v>
      </c>
      <c r="H239" s="150">
        <v>7.44519</v>
      </c>
      <c r="I239" s="151">
        <v>2439.79</v>
      </c>
      <c r="J239" s="150">
        <v>7.44519</v>
      </c>
      <c r="K239" s="151">
        <v>2439.79</v>
      </c>
      <c r="L239" s="152">
        <f t="shared" si="44"/>
        <v>0.003051570012173179</v>
      </c>
      <c r="M239" s="61">
        <v>315.01</v>
      </c>
      <c r="N239" s="61">
        <f t="shared" si="45"/>
        <v>0.9612750695346731</v>
      </c>
      <c r="O239" s="61">
        <f t="shared" si="46"/>
        <v>183.09420073039072</v>
      </c>
      <c r="P239" s="61">
        <f t="shared" si="47"/>
        <v>57.67650417208038</v>
      </c>
      <c r="Q239" s="11"/>
      <c r="R239" s="10"/>
      <c r="S239" s="10"/>
    </row>
    <row r="240" spans="1:19" s="9" customFormat="1" ht="12.75">
      <c r="A240" s="181"/>
      <c r="B240" s="79" t="s">
        <v>327</v>
      </c>
      <c r="C240" s="34">
        <v>16</v>
      </c>
      <c r="D240" s="34">
        <v>1984</v>
      </c>
      <c r="E240" s="80">
        <v>4.488837</v>
      </c>
      <c r="F240" s="80">
        <v>0.578442</v>
      </c>
      <c r="G240" s="80">
        <v>1.738714</v>
      </c>
      <c r="H240" s="80">
        <v>2.171681</v>
      </c>
      <c r="I240" s="81">
        <v>766.75</v>
      </c>
      <c r="J240" s="80">
        <v>1.872926</v>
      </c>
      <c r="K240" s="81">
        <v>609.7</v>
      </c>
      <c r="L240" s="36">
        <f t="shared" si="44"/>
        <v>0.0030718812530752828</v>
      </c>
      <c r="M240" s="35">
        <v>247.6</v>
      </c>
      <c r="N240" s="35">
        <f t="shared" si="45"/>
        <v>0.76059779826144</v>
      </c>
      <c r="O240" s="35">
        <f t="shared" si="46"/>
        <v>184.31287518451697</v>
      </c>
      <c r="P240" s="35">
        <f t="shared" si="47"/>
        <v>45.6358678956864</v>
      </c>
      <c r="Q240" s="11"/>
      <c r="R240" s="10"/>
      <c r="S240" s="10"/>
    </row>
    <row r="241" spans="1:19" s="9" customFormat="1" ht="11.25" customHeight="1">
      <c r="A241" s="181"/>
      <c r="B241" s="123" t="s">
        <v>389</v>
      </c>
      <c r="C241" s="50">
        <v>82</v>
      </c>
      <c r="D241" s="62">
        <v>1995</v>
      </c>
      <c r="E241" s="149">
        <f>F241+G241+H241</f>
        <v>37.754999</v>
      </c>
      <c r="F241" s="150">
        <v>7.905</v>
      </c>
      <c r="G241" s="150">
        <v>14.4</v>
      </c>
      <c r="H241" s="150">
        <v>15.449999</v>
      </c>
      <c r="I241" s="151">
        <v>5009.12</v>
      </c>
      <c r="J241" s="150">
        <v>15.449999</v>
      </c>
      <c r="K241" s="151">
        <v>5009.12</v>
      </c>
      <c r="L241" s="152">
        <f t="shared" si="44"/>
        <v>0.003084373902002747</v>
      </c>
      <c r="M241" s="61">
        <v>315.01</v>
      </c>
      <c r="N241" s="61">
        <f t="shared" si="45"/>
        <v>0.9716086228698853</v>
      </c>
      <c r="O241" s="61">
        <f t="shared" si="46"/>
        <v>185.06243412016482</v>
      </c>
      <c r="P241" s="61">
        <f t="shared" si="47"/>
        <v>58.29651737219312</v>
      </c>
      <c r="Q241" s="11"/>
      <c r="R241" s="10"/>
      <c r="S241" s="10"/>
    </row>
    <row r="242" spans="1:19" s="9" customFormat="1" ht="12.75" customHeight="1">
      <c r="A242" s="181"/>
      <c r="B242" s="117" t="s">
        <v>470</v>
      </c>
      <c r="C242" s="53">
        <v>50</v>
      </c>
      <c r="D242" s="53">
        <v>1971</v>
      </c>
      <c r="E242" s="42">
        <v>20.946</v>
      </c>
      <c r="F242" s="42">
        <v>4.8144</v>
      </c>
      <c r="G242" s="42">
        <v>8</v>
      </c>
      <c r="H242" s="42">
        <v>8.1316</v>
      </c>
      <c r="I242" s="153">
        <v>2635.3</v>
      </c>
      <c r="J242" s="42">
        <v>8.13</v>
      </c>
      <c r="K242" s="153">
        <v>2635.3</v>
      </c>
      <c r="L242" s="154">
        <f t="shared" si="44"/>
        <v>0.0030850377566121506</v>
      </c>
      <c r="M242" s="43">
        <v>329.943</v>
      </c>
      <c r="N242" s="155">
        <f t="shared" si="45"/>
        <v>1.0178866125298827</v>
      </c>
      <c r="O242" s="155">
        <f t="shared" si="46"/>
        <v>185.10226539672902</v>
      </c>
      <c r="P242" s="155">
        <f t="shared" si="47"/>
        <v>61.073196751792956</v>
      </c>
      <c r="R242" s="10"/>
      <c r="S242" s="10"/>
    </row>
    <row r="243" spans="1:19" s="9" customFormat="1" ht="12.75" customHeight="1">
      <c r="A243" s="181"/>
      <c r="B243" s="79" t="s">
        <v>547</v>
      </c>
      <c r="C243" s="34">
        <v>30</v>
      </c>
      <c r="D243" s="34" t="s">
        <v>31</v>
      </c>
      <c r="E243" s="80">
        <f>F243+G243+H243</f>
        <v>12.6473</v>
      </c>
      <c r="F243" s="80">
        <v>2.6021</v>
      </c>
      <c r="G243" s="80">
        <v>4.8</v>
      </c>
      <c r="H243" s="80">
        <v>5.2452</v>
      </c>
      <c r="I243" s="81">
        <v>1693.38</v>
      </c>
      <c r="J243" s="80">
        <v>5.2452</v>
      </c>
      <c r="K243" s="81">
        <v>1693.38</v>
      </c>
      <c r="L243" s="36">
        <f t="shared" si="44"/>
        <v>0.0030974736916699144</v>
      </c>
      <c r="M243" s="35">
        <v>206.4</v>
      </c>
      <c r="N243" s="35">
        <f t="shared" si="45"/>
        <v>0.6393185699606704</v>
      </c>
      <c r="O243" s="35">
        <f>L243*1000*60</f>
        <v>185.8484215001949</v>
      </c>
      <c r="P243" s="35">
        <f>N243*60</f>
        <v>38.359114197640224</v>
      </c>
      <c r="R243" s="10"/>
      <c r="S243" s="10"/>
    </row>
    <row r="244" spans="1:22" s="9" customFormat="1" ht="12.75" customHeight="1">
      <c r="A244" s="181"/>
      <c r="B244" s="79" t="s">
        <v>786</v>
      </c>
      <c r="C244" s="34">
        <v>24</v>
      </c>
      <c r="D244" s="34">
        <v>1967</v>
      </c>
      <c r="E244" s="80">
        <v>5.5</v>
      </c>
      <c r="F244" s="80">
        <v>2.435</v>
      </c>
      <c r="G244" s="80">
        <v>0.24</v>
      </c>
      <c r="H244" s="80">
        <v>2.824</v>
      </c>
      <c r="I244" s="46" t="s">
        <v>782</v>
      </c>
      <c r="J244" s="80">
        <v>2.824</v>
      </c>
      <c r="K244" s="81">
        <v>908.47</v>
      </c>
      <c r="L244" s="36">
        <f t="shared" si="44"/>
        <v>0.003108523121291842</v>
      </c>
      <c r="M244" s="35">
        <v>354.25</v>
      </c>
      <c r="N244" s="35">
        <f t="shared" si="45"/>
        <v>1.1011943157176352</v>
      </c>
      <c r="O244" s="35">
        <f>L244*60*1000</f>
        <v>186.51138727751055</v>
      </c>
      <c r="P244" s="35">
        <f>O244*M244/1000</f>
        <v>66.07165894305811</v>
      </c>
      <c r="Q244" s="10"/>
      <c r="R244" s="10"/>
      <c r="S244" s="10"/>
      <c r="T244" s="12"/>
      <c r="U244" s="13"/>
      <c r="V244" s="13"/>
    </row>
    <row r="245" spans="1:19" s="9" customFormat="1" ht="12.75" customHeight="1">
      <c r="A245" s="181"/>
      <c r="B245" s="79" t="s">
        <v>548</v>
      </c>
      <c r="C245" s="34">
        <v>24</v>
      </c>
      <c r="D245" s="34" t="s">
        <v>31</v>
      </c>
      <c r="E245" s="80">
        <f>F245+G245+H245</f>
        <v>11.0999</v>
      </c>
      <c r="F245" s="80">
        <v>3.1772</v>
      </c>
      <c r="G245" s="80">
        <v>3.84</v>
      </c>
      <c r="H245" s="80">
        <v>4.0827</v>
      </c>
      <c r="I245" s="81">
        <v>1308.77</v>
      </c>
      <c r="J245" s="80">
        <v>4.0816</v>
      </c>
      <c r="K245" s="81">
        <v>1308.77</v>
      </c>
      <c r="L245" s="36">
        <f t="shared" si="44"/>
        <v>0.0031186533921162616</v>
      </c>
      <c r="M245" s="35">
        <v>206.4</v>
      </c>
      <c r="N245" s="35">
        <f t="shared" si="45"/>
        <v>0.6436900601327964</v>
      </c>
      <c r="O245" s="35">
        <f>L245*1000*60</f>
        <v>187.1192035269757</v>
      </c>
      <c r="P245" s="35">
        <f>N245*60</f>
        <v>38.621403607967785</v>
      </c>
      <c r="R245" s="10"/>
      <c r="S245" s="10"/>
    </row>
    <row r="246" spans="1:19" s="9" customFormat="1" ht="12.75" customHeight="1">
      <c r="A246" s="181"/>
      <c r="B246" s="117" t="s">
        <v>346</v>
      </c>
      <c r="C246" s="53">
        <v>60</v>
      </c>
      <c r="D246" s="53">
        <v>1989</v>
      </c>
      <c r="E246" s="42">
        <f>F246+G246+H246</f>
        <v>21.37</v>
      </c>
      <c r="F246" s="42">
        <v>4.38</v>
      </c>
      <c r="G246" s="42">
        <v>9.6</v>
      </c>
      <c r="H246" s="42">
        <v>7.39</v>
      </c>
      <c r="I246" s="153">
        <v>2434.08</v>
      </c>
      <c r="J246" s="42">
        <v>7.39</v>
      </c>
      <c r="K246" s="153">
        <v>2362.11</v>
      </c>
      <c r="L246" s="154">
        <f t="shared" si="44"/>
        <v>0.0031285587885407536</v>
      </c>
      <c r="M246" s="43">
        <v>320.7</v>
      </c>
      <c r="N246" s="155">
        <f t="shared" si="45"/>
        <v>1.0033288034850196</v>
      </c>
      <c r="O246" s="155">
        <f>L246*60*1000</f>
        <v>187.71352731244522</v>
      </c>
      <c r="P246" s="155">
        <f>O246*M246/1000</f>
        <v>60.19972820910118</v>
      </c>
      <c r="R246" s="10"/>
      <c r="S246" s="10"/>
    </row>
    <row r="247" spans="1:19" s="9" customFormat="1" ht="12.75" customHeight="1">
      <c r="A247" s="181"/>
      <c r="B247" s="79" t="s">
        <v>46</v>
      </c>
      <c r="C247" s="34">
        <v>28</v>
      </c>
      <c r="D247" s="34">
        <v>1999</v>
      </c>
      <c r="E247" s="80">
        <v>15.403</v>
      </c>
      <c r="F247" s="80">
        <v>4.386</v>
      </c>
      <c r="G247" s="80">
        <v>4.16</v>
      </c>
      <c r="H247" s="80">
        <v>6.856998</v>
      </c>
      <c r="I247" s="81">
        <v>2189.32</v>
      </c>
      <c r="J247" s="80">
        <f>H247</f>
        <v>6.856998</v>
      </c>
      <c r="K247" s="81">
        <v>2189.32</v>
      </c>
      <c r="L247" s="36">
        <f t="shared" si="44"/>
        <v>0.003132021814992783</v>
      </c>
      <c r="M247" s="35">
        <v>306.181</v>
      </c>
      <c r="N247" s="35">
        <f t="shared" si="45"/>
        <v>0.9589655713363052</v>
      </c>
      <c r="O247" s="35">
        <f>L247*60*1000</f>
        <v>187.92130889956698</v>
      </c>
      <c r="P247" s="35">
        <f>N247*60</f>
        <v>57.53793428017831</v>
      </c>
      <c r="R247" s="10"/>
      <c r="S247" s="10"/>
    </row>
    <row r="248" spans="1:19" s="9" customFormat="1" ht="12.75" customHeight="1">
      <c r="A248" s="181"/>
      <c r="B248" s="117" t="s">
        <v>257</v>
      </c>
      <c r="C248" s="53">
        <v>40</v>
      </c>
      <c r="D248" s="53">
        <v>1983</v>
      </c>
      <c r="E248" s="80">
        <v>17.319</v>
      </c>
      <c r="F248" s="80">
        <v>3.825</v>
      </c>
      <c r="G248" s="80">
        <v>6.4</v>
      </c>
      <c r="H248" s="80">
        <v>7.094</v>
      </c>
      <c r="I248" s="81">
        <v>2254.6</v>
      </c>
      <c r="J248" s="80">
        <v>7.094</v>
      </c>
      <c r="K248" s="81">
        <v>2254.6</v>
      </c>
      <c r="L248" s="36">
        <f t="shared" si="44"/>
        <v>0.0031464561341257875</v>
      </c>
      <c r="M248" s="35">
        <v>343.459</v>
      </c>
      <c r="N248" s="35">
        <f t="shared" si="45"/>
        <v>1.0806786773707089</v>
      </c>
      <c r="O248" s="35">
        <f>L248*60*1000</f>
        <v>188.78736804754726</v>
      </c>
      <c r="P248" s="35">
        <f>O248*M248/1000</f>
        <v>64.84072064224253</v>
      </c>
      <c r="R248" s="10"/>
      <c r="S248" s="10"/>
    </row>
    <row r="249" spans="1:19" s="9" customFormat="1" ht="13.5" customHeight="1">
      <c r="A249" s="181"/>
      <c r="B249" s="79" t="s">
        <v>844</v>
      </c>
      <c r="C249" s="34">
        <v>20</v>
      </c>
      <c r="D249" s="34">
        <v>2011</v>
      </c>
      <c r="E249" s="80">
        <v>5.444</v>
      </c>
      <c r="F249" s="80">
        <f>37.85*0.051</f>
        <v>1.93035</v>
      </c>
      <c r="G249" s="80"/>
      <c r="H249" s="80">
        <f>+E249-F249</f>
        <v>3.51365</v>
      </c>
      <c r="I249" s="46"/>
      <c r="J249" s="80">
        <f>+H249</f>
        <v>3.51365</v>
      </c>
      <c r="K249" s="81">
        <v>1113.2</v>
      </c>
      <c r="L249" s="36">
        <f t="shared" si="44"/>
        <v>0.0031563510600071867</v>
      </c>
      <c r="M249" s="156">
        <v>347.8</v>
      </c>
      <c r="N249" s="35">
        <f t="shared" si="45"/>
        <v>1.0977788986704995</v>
      </c>
      <c r="O249" s="35">
        <f>L249*60*1000</f>
        <v>189.3810636004312</v>
      </c>
      <c r="P249" s="35">
        <f>O249*M249/1000</f>
        <v>65.86673392022998</v>
      </c>
      <c r="R249" s="10"/>
      <c r="S249" s="10"/>
    </row>
    <row r="250" spans="1:23" s="9" customFormat="1" ht="13.5" customHeight="1">
      <c r="A250" s="181"/>
      <c r="B250" s="79" t="s">
        <v>510</v>
      </c>
      <c r="C250" s="81">
        <v>44</v>
      </c>
      <c r="D250" s="34" t="s">
        <v>31</v>
      </c>
      <c r="E250" s="80">
        <f aca="true" t="shared" si="48" ref="E250:E256">F250+G250+H250</f>
        <v>17.695871</v>
      </c>
      <c r="F250" s="80">
        <v>3.213</v>
      </c>
      <c r="G250" s="80">
        <v>7.04</v>
      </c>
      <c r="H250" s="80">
        <v>7.442871</v>
      </c>
      <c r="I250" s="81">
        <v>2358.02</v>
      </c>
      <c r="J250" s="80">
        <v>7.442875</v>
      </c>
      <c r="K250" s="81">
        <v>2358.02</v>
      </c>
      <c r="L250" s="36">
        <f t="shared" si="44"/>
        <v>0.0031564087666771275</v>
      </c>
      <c r="M250" s="35">
        <v>221.4</v>
      </c>
      <c r="N250" s="35">
        <f t="shared" si="45"/>
        <v>0.6988289009423161</v>
      </c>
      <c r="O250" s="35">
        <f>L250*60*1000</f>
        <v>189.38452600062766</v>
      </c>
      <c r="P250" s="35">
        <f>O250*M250/1000</f>
        <v>41.92973405653897</v>
      </c>
      <c r="Q250" s="10"/>
      <c r="R250" s="10"/>
      <c r="S250" s="10"/>
      <c r="T250" s="12"/>
      <c r="U250" s="13"/>
      <c r="V250" s="13"/>
      <c r="W250" s="14"/>
    </row>
    <row r="251" spans="1:19" s="9" customFormat="1" ht="12.75" customHeight="1">
      <c r="A251" s="181"/>
      <c r="B251" s="79" t="s">
        <v>549</v>
      </c>
      <c r="C251" s="34">
        <v>22</v>
      </c>
      <c r="D251" s="34" t="s">
        <v>31</v>
      </c>
      <c r="E251" s="80">
        <f t="shared" si="48"/>
        <v>9.984</v>
      </c>
      <c r="F251" s="149">
        <v>2.8212</v>
      </c>
      <c r="G251" s="80">
        <v>3.52</v>
      </c>
      <c r="H251" s="80">
        <v>3.6428</v>
      </c>
      <c r="I251" s="81">
        <v>1148.35</v>
      </c>
      <c r="J251" s="80">
        <v>3.6428</v>
      </c>
      <c r="K251" s="81">
        <v>1148.35</v>
      </c>
      <c r="L251" s="36">
        <f t="shared" si="44"/>
        <v>0.0031722035964644926</v>
      </c>
      <c r="M251" s="35">
        <v>206.4</v>
      </c>
      <c r="N251" s="35">
        <f t="shared" si="45"/>
        <v>0.6547428223102713</v>
      </c>
      <c r="O251" s="35">
        <f>L251*1000*60</f>
        <v>190.33221578786956</v>
      </c>
      <c r="P251" s="35">
        <f>N251*60</f>
        <v>39.28456933861627</v>
      </c>
      <c r="R251" s="10"/>
      <c r="S251" s="10"/>
    </row>
    <row r="252" spans="1:16" s="9" customFormat="1" ht="12.75" customHeight="1">
      <c r="A252" s="181"/>
      <c r="B252" s="117" t="s">
        <v>347</v>
      </c>
      <c r="C252" s="53">
        <v>30</v>
      </c>
      <c r="D252" s="53">
        <v>1986</v>
      </c>
      <c r="E252" s="42">
        <f t="shared" si="48"/>
        <v>12.27</v>
      </c>
      <c r="F252" s="42">
        <v>2.42</v>
      </c>
      <c r="G252" s="42">
        <v>4.8</v>
      </c>
      <c r="H252" s="42">
        <v>5.05</v>
      </c>
      <c r="I252" s="153">
        <v>1589.97</v>
      </c>
      <c r="J252" s="42">
        <v>5.05</v>
      </c>
      <c r="K252" s="153">
        <v>1589.97</v>
      </c>
      <c r="L252" s="154">
        <f t="shared" si="44"/>
        <v>0.003176160556488487</v>
      </c>
      <c r="M252" s="43">
        <v>320.7</v>
      </c>
      <c r="N252" s="155">
        <f t="shared" si="45"/>
        <v>1.0185946904658578</v>
      </c>
      <c r="O252" s="155">
        <f>L252*60*1000</f>
        <v>190.56963338930925</v>
      </c>
      <c r="P252" s="155">
        <f>O252*M252/1000</f>
        <v>61.11568142795147</v>
      </c>
    </row>
    <row r="253" spans="1:19" s="9" customFormat="1" ht="12.75">
      <c r="A253" s="181"/>
      <c r="B253" s="117" t="s">
        <v>348</v>
      </c>
      <c r="C253" s="53">
        <v>30</v>
      </c>
      <c r="D253" s="53">
        <v>1989</v>
      </c>
      <c r="E253" s="42">
        <f t="shared" si="48"/>
        <v>15.07</v>
      </c>
      <c r="F253" s="42">
        <v>5.16</v>
      </c>
      <c r="G253" s="42">
        <v>4.8</v>
      </c>
      <c r="H253" s="42">
        <v>5.11</v>
      </c>
      <c r="I253" s="153">
        <v>1596.56</v>
      </c>
      <c r="J253" s="42">
        <v>5.11</v>
      </c>
      <c r="K253" s="153">
        <v>1596.56</v>
      </c>
      <c r="L253" s="154">
        <f t="shared" si="44"/>
        <v>0.00320063135741845</v>
      </c>
      <c r="M253" s="43">
        <v>320.7</v>
      </c>
      <c r="N253" s="155">
        <f t="shared" si="45"/>
        <v>1.026442476324097</v>
      </c>
      <c r="O253" s="155">
        <f>L253*60*1000</f>
        <v>192.037881445107</v>
      </c>
      <c r="P253" s="155">
        <f>O253*M253/1000</f>
        <v>61.586548579445804</v>
      </c>
      <c r="R253" s="10"/>
      <c r="S253" s="10"/>
    </row>
    <row r="254" spans="1:19" s="9" customFormat="1" ht="12.75">
      <c r="A254" s="181"/>
      <c r="B254" s="117" t="s">
        <v>349</v>
      </c>
      <c r="C254" s="53">
        <v>45</v>
      </c>
      <c r="D254" s="53">
        <v>1986</v>
      </c>
      <c r="E254" s="42">
        <f t="shared" si="48"/>
        <v>22.5</v>
      </c>
      <c r="F254" s="42">
        <v>7.84</v>
      </c>
      <c r="G254" s="42">
        <v>7.2</v>
      </c>
      <c r="H254" s="42">
        <v>7.46</v>
      </c>
      <c r="I254" s="153">
        <v>2321.7</v>
      </c>
      <c r="J254" s="42">
        <v>7.46</v>
      </c>
      <c r="K254" s="153">
        <v>2321.7</v>
      </c>
      <c r="L254" s="154">
        <f t="shared" si="44"/>
        <v>0.0032131627686608952</v>
      </c>
      <c r="M254" s="43">
        <v>320.7</v>
      </c>
      <c r="N254" s="155">
        <f t="shared" si="45"/>
        <v>1.030461299909549</v>
      </c>
      <c r="O254" s="155">
        <f>L254*60*1000</f>
        <v>192.7897661196537</v>
      </c>
      <c r="P254" s="155">
        <f>O254*M254/1000</f>
        <v>61.827677994572944</v>
      </c>
      <c r="R254" s="10"/>
      <c r="S254" s="10"/>
    </row>
    <row r="255" spans="1:19" s="9" customFormat="1" ht="12.75">
      <c r="A255" s="181"/>
      <c r="B255" s="79" t="s">
        <v>550</v>
      </c>
      <c r="C255" s="34">
        <v>55</v>
      </c>
      <c r="D255" s="34" t="s">
        <v>31</v>
      </c>
      <c r="E255" s="80">
        <f t="shared" si="48"/>
        <v>22.473</v>
      </c>
      <c r="F255" s="80">
        <v>5.489</v>
      </c>
      <c r="G255" s="80">
        <v>8.8</v>
      </c>
      <c r="H255" s="80">
        <v>8.184</v>
      </c>
      <c r="I255" s="81">
        <v>2545.12</v>
      </c>
      <c r="J255" s="80">
        <v>8.184</v>
      </c>
      <c r="K255" s="81">
        <v>2545.12</v>
      </c>
      <c r="L255" s="36">
        <f t="shared" si="44"/>
        <v>0.003215565474319482</v>
      </c>
      <c r="M255" s="35">
        <v>206.4</v>
      </c>
      <c r="N255" s="35">
        <f t="shared" si="45"/>
        <v>0.6636927138995411</v>
      </c>
      <c r="O255" s="35">
        <f>L255*1000*60</f>
        <v>192.9339284591689</v>
      </c>
      <c r="P255" s="35">
        <f>N255*60</f>
        <v>39.821562833972465</v>
      </c>
      <c r="R255" s="10"/>
      <c r="S255" s="10"/>
    </row>
    <row r="256" spans="1:19" s="9" customFormat="1" ht="12.75">
      <c r="A256" s="181"/>
      <c r="B256" s="79" t="s">
        <v>551</v>
      </c>
      <c r="C256" s="34">
        <v>40</v>
      </c>
      <c r="D256" s="34">
        <v>1993</v>
      </c>
      <c r="E256" s="80">
        <f t="shared" si="48"/>
        <v>19.2403</v>
      </c>
      <c r="F256" s="80">
        <v>5.6423</v>
      </c>
      <c r="G256" s="80">
        <v>6.4</v>
      </c>
      <c r="H256" s="80">
        <v>7.198</v>
      </c>
      <c r="I256" s="81">
        <v>2229.96</v>
      </c>
      <c r="J256" s="80">
        <v>7.198</v>
      </c>
      <c r="K256" s="81">
        <v>2229.96</v>
      </c>
      <c r="L256" s="36">
        <f t="shared" si="44"/>
        <v>0.003227860589427613</v>
      </c>
      <c r="M256" s="35">
        <v>206.4</v>
      </c>
      <c r="N256" s="35">
        <f t="shared" si="45"/>
        <v>0.6662304256578594</v>
      </c>
      <c r="O256" s="35">
        <f>L256*1000*60</f>
        <v>193.67163536565678</v>
      </c>
      <c r="P256" s="35">
        <f>N256*60</f>
        <v>39.97382553947156</v>
      </c>
      <c r="R256" s="10"/>
      <c r="S256" s="10"/>
    </row>
    <row r="257" spans="1:19" s="9" customFormat="1" ht="12.75" customHeight="1">
      <c r="A257" s="181"/>
      <c r="B257" s="79" t="s">
        <v>816</v>
      </c>
      <c r="C257" s="34">
        <v>50</v>
      </c>
      <c r="D257" s="34">
        <v>1978</v>
      </c>
      <c r="E257" s="80">
        <f>SUM(F257+G257+H257)</f>
        <v>19.6</v>
      </c>
      <c r="F257" s="80">
        <v>3.4</v>
      </c>
      <c r="G257" s="80">
        <v>8</v>
      </c>
      <c r="H257" s="80">
        <v>8.2</v>
      </c>
      <c r="I257" s="81">
        <v>2609.15</v>
      </c>
      <c r="J257" s="80">
        <v>8.2</v>
      </c>
      <c r="K257" s="81">
        <v>2537.29</v>
      </c>
      <c r="L257" s="36">
        <f>SUM(J257/K257)</f>
        <v>0.0032317945524555722</v>
      </c>
      <c r="M257" s="35">
        <v>214.3</v>
      </c>
      <c r="N257" s="35">
        <f>SUM(L257*M257)</f>
        <v>0.6925735725912292</v>
      </c>
      <c r="O257" s="35">
        <f aca="true" t="shared" si="49" ref="O257:O271">L257*60*1000</f>
        <v>193.90767314733435</v>
      </c>
      <c r="P257" s="35">
        <f>SUM(N257*60)</f>
        <v>41.55441435547375</v>
      </c>
      <c r="R257" s="10"/>
      <c r="S257" s="10"/>
    </row>
    <row r="258" spans="1:19" s="9" customFormat="1" ht="12.75">
      <c r="A258" s="181"/>
      <c r="B258" s="117" t="s">
        <v>350</v>
      </c>
      <c r="C258" s="53">
        <v>40</v>
      </c>
      <c r="D258" s="53">
        <v>1984</v>
      </c>
      <c r="E258" s="42">
        <f>F258+G258+H258</f>
        <v>15.669999999999998</v>
      </c>
      <c r="F258" s="42">
        <v>2.55</v>
      </c>
      <c r="G258" s="42">
        <v>6.24</v>
      </c>
      <c r="H258" s="42">
        <v>6.88</v>
      </c>
      <c r="I258" s="153">
        <v>2180.47</v>
      </c>
      <c r="J258" s="42">
        <v>6.88</v>
      </c>
      <c r="K258" s="153">
        <v>2121.01</v>
      </c>
      <c r="L258" s="154">
        <f aca="true" t="shared" si="50" ref="L258:L271">J258/K258</f>
        <v>0.00324373765328782</v>
      </c>
      <c r="M258" s="43">
        <v>320.7</v>
      </c>
      <c r="N258" s="155">
        <f aca="true" t="shared" si="51" ref="N258:N271">L258*M258</f>
        <v>1.040266665409404</v>
      </c>
      <c r="O258" s="155">
        <f t="shared" si="49"/>
        <v>194.6242591972692</v>
      </c>
      <c r="P258" s="155">
        <f aca="true" t="shared" si="52" ref="P258:P271">O258*M258/1000</f>
        <v>62.41599992456423</v>
      </c>
      <c r="R258" s="10"/>
      <c r="S258" s="10"/>
    </row>
    <row r="259" spans="1:19" s="9" customFormat="1" ht="12.75">
      <c r="A259" s="181"/>
      <c r="B259" s="79" t="s">
        <v>89</v>
      </c>
      <c r="C259" s="34">
        <v>72</v>
      </c>
      <c r="D259" s="34">
        <v>1973</v>
      </c>
      <c r="E259" s="80">
        <v>32.67</v>
      </c>
      <c r="F259" s="80">
        <v>8.85</v>
      </c>
      <c r="G259" s="80">
        <v>11.52</v>
      </c>
      <c r="H259" s="80">
        <f>E259-F259-G259</f>
        <v>12.3</v>
      </c>
      <c r="I259" s="81">
        <v>3785.4</v>
      </c>
      <c r="J259" s="80">
        <f>H259/I259*K259</f>
        <v>12.3</v>
      </c>
      <c r="K259" s="81">
        <v>3785.4</v>
      </c>
      <c r="L259" s="36">
        <f t="shared" si="50"/>
        <v>0.0032493263591694406</v>
      </c>
      <c r="M259" s="35">
        <v>332.56</v>
      </c>
      <c r="N259" s="35">
        <f t="shared" si="51"/>
        <v>1.0805959740053892</v>
      </c>
      <c r="O259" s="35">
        <f t="shared" si="49"/>
        <v>194.95958155016643</v>
      </c>
      <c r="P259" s="35">
        <f t="shared" si="52"/>
        <v>64.83575844032335</v>
      </c>
      <c r="R259" s="10"/>
      <c r="S259" s="10"/>
    </row>
    <row r="260" spans="1:19" s="9" customFormat="1" ht="12.75">
      <c r="A260" s="181"/>
      <c r="B260" s="79" t="s">
        <v>126</v>
      </c>
      <c r="C260" s="34">
        <v>85</v>
      </c>
      <c r="D260" s="34">
        <v>1967</v>
      </c>
      <c r="E260" s="80">
        <v>36.604</v>
      </c>
      <c r="F260" s="80">
        <v>15.509</v>
      </c>
      <c r="G260" s="80">
        <v>8.5</v>
      </c>
      <c r="H260" s="80">
        <f>E260-F260-G260</f>
        <v>12.594999999999999</v>
      </c>
      <c r="I260" s="81">
        <v>3870.76</v>
      </c>
      <c r="J260" s="80">
        <f>H260</f>
        <v>12.594999999999999</v>
      </c>
      <c r="K260" s="81">
        <f>I260</f>
        <v>3870.76</v>
      </c>
      <c r="L260" s="36">
        <f t="shared" si="50"/>
        <v>0.0032538829583854327</v>
      </c>
      <c r="M260" s="35">
        <v>288.2</v>
      </c>
      <c r="N260" s="35">
        <f t="shared" si="51"/>
        <v>0.9377690686066816</v>
      </c>
      <c r="O260" s="35">
        <f t="shared" si="49"/>
        <v>195.23297750312597</v>
      </c>
      <c r="P260" s="35">
        <f t="shared" si="52"/>
        <v>56.2661441164009</v>
      </c>
      <c r="R260" s="10"/>
      <c r="S260" s="10"/>
    </row>
    <row r="261" spans="1:19" s="9" customFormat="1" ht="12.75" customHeight="1">
      <c r="A261" s="181"/>
      <c r="B261" s="117" t="s">
        <v>351</v>
      </c>
      <c r="C261" s="53">
        <v>29</v>
      </c>
      <c r="D261" s="53">
        <v>1996</v>
      </c>
      <c r="E261" s="42">
        <f>F261+G261+H261</f>
        <v>12.43</v>
      </c>
      <c r="F261" s="42">
        <v>3.35</v>
      </c>
      <c r="G261" s="42">
        <v>4.48</v>
      </c>
      <c r="H261" s="42">
        <v>4.6</v>
      </c>
      <c r="I261" s="153">
        <v>1512.06</v>
      </c>
      <c r="J261" s="42">
        <v>4.6</v>
      </c>
      <c r="K261" s="153">
        <v>1411.12</v>
      </c>
      <c r="L261" s="154">
        <f t="shared" si="50"/>
        <v>0.0032598219853733207</v>
      </c>
      <c r="M261" s="43">
        <v>320.7</v>
      </c>
      <c r="N261" s="155">
        <f t="shared" si="51"/>
        <v>1.045424910709224</v>
      </c>
      <c r="O261" s="155">
        <f t="shared" si="49"/>
        <v>195.58931912239925</v>
      </c>
      <c r="P261" s="155">
        <f t="shared" si="52"/>
        <v>62.725494642553436</v>
      </c>
      <c r="R261" s="10"/>
      <c r="S261" s="10"/>
    </row>
    <row r="262" spans="1:19" s="9" customFormat="1" ht="12.75">
      <c r="A262" s="181"/>
      <c r="B262" s="79" t="s">
        <v>787</v>
      </c>
      <c r="C262" s="34">
        <v>50</v>
      </c>
      <c r="D262" s="34">
        <v>1976</v>
      </c>
      <c r="E262" s="80">
        <v>21.1</v>
      </c>
      <c r="F262" s="80">
        <v>7.306</v>
      </c>
      <c r="G262" s="80">
        <v>7.84</v>
      </c>
      <c r="H262" s="80">
        <v>5.953</v>
      </c>
      <c r="I262" s="46" t="s">
        <v>782</v>
      </c>
      <c r="J262" s="80">
        <v>5.953</v>
      </c>
      <c r="K262" s="81">
        <v>1816.22</v>
      </c>
      <c r="L262" s="36">
        <f t="shared" si="50"/>
        <v>0.003277686623867153</v>
      </c>
      <c r="M262" s="35">
        <v>354.25</v>
      </c>
      <c r="N262" s="35">
        <f t="shared" si="51"/>
        <v>1.161120486504939</v>
      </c>
      <c r="O262" s="35">
        <f t="shared" si="49"/>
        <v>196.66119743202918</v>
      </c>
      <c r="P262" s="35">
        <f t="shared" si="52"/>
        <v>69.66722919029634</v>
      </c>
      <c r="Q262" s="11"/>
      <c r="R262" s="10"/>
      <c r="S262" s="10"/>
    </row>
    <row r="263" spans="1:19" s="9" customFormat="1" ht="12.75">
      <c r="A263" s="181"/>
      <c r="B263" s="79" t="s">
        <v>743</v>
      </c>
      <c r="C263" s="34">
        <v>22</v>
      </c>
      <c r="D263" s="34" t="s">
        <v>31</v>
      </c>
      <c r="E263" s="80">
        <f>F263+G263+H263</f>
        <v>8.114</v>
      </c>
      <c r="F263" s="80">
        <v>1.002</v>
      </c>
      <c r="G263" s="80">
        <v>3.248</v>
      </c>
      <c r="H263" s="80">
        <v>3.864</v>
      </c>
      <c r="I263" s="81">
        <v>1176.81</v>
      </c>
      <c r="J263" s="80">
        <v>3.864</v>
      </c>
      <c r="K263" s="81">
        <v>1176.81</v>
      </c>
      <c r="L263" s="36">
        <f t="shared" si="50"/>
        <v>0.003283452723889158</v>
      </c>
      <c r="M263" s="35">
        <v>361.99</v>
      </c>
      <c r="N263" s="35">
        <f t="shared" si="51"/>
        <v>1.1885770515206362</v>
      </c>
      <c r="O263" s="35">
        <f t="shared" si="49"/>
        <v>197.0071634333495</v>
      </c>
      <c r="P263" s="35">
        <f t="shared" si="52"/>
        <v>71.31462309123819</v>
      </c>
      <c r="R263" s="10"/>
      <c r="S263" s="10"/>
    </row>
    <row r="264" spans="1:19" s="9" customFormat="1" ht="12.75">
      <c r="A264" s="181"/>
      <c r="B264" s="123" t="s">
        <v>390</v>
      </c>
      <c r="C264" s="50">
        <v>50</v>
      </c>
      <c r="D264" s="62">
        <v>1971</v>
      </c>
      <c r="E264" s="149">
        <f>F264+G264+H264</f>
        <v>22.217003</v>
      </c>
      <c r="F264" s="150">
        <v>5.61</v>
      </c>
      <c r="G264" s="150">
        <v>8</v>
      </c>
      <c r="H264" s="150">
        <v>8.607003</v>
      </c>
      <c r="I264" s="151">
        <v>2601.9</v>
      </c>
      <c r="J264" s="150">
        <v>8.607003</v>
      </c>
      <c r="K264" s="151">
        <v>2601.9</v>
      </c>
      <c r="L264" s="152">
        <f t="shared" si="50"/>
        <v>0.003307968407702064</v>
      </c>
      <c r="M264" s="61">
        <v>315.01</v>
      </c>
      <c r="N264" s="61">
        <f t="shared" si="51"/>
        <v>1.0420431281102271</v>
      </c>
      <c r="O264" s="61">
        <f t="shared" si="49"/>
        <v>198.47810446212387</v>
      </c>
      <c r="P264" s="61">
        <f t="shared" si="52"/>
        <v>62.52258768661364</v>
      </c>
      <c r="R264" s="10"/>
      <c r="S264" s="10"/>
    </row>
    <row r="265" spans="1:19" s="9" customFormat="1" ht="12.75" customHeight="1">
      <c r="A265" s="181"/>
      <c r="B265" s="117" t="s">
        <v>352</v>
      </c>
      <c r="C265" s="53">
        <v>54</v>
      </c>
      <c r="D265" s="53">
        <v>1982</v>
      </c>
      <c r="E265" s="42">
        <f>F265+G265+H265</f>
        <v>26.64</v>
      </c>
      <c r="F265" s="42">
        <v>7.51</v>
      </c>
      <c r="G265" s="42">
        <v>9.13</v>
      </c>
      <c r="H265" s="42">
        <v>10</v>
      </c>
      <c r="I265" s="153">
        <v>2985.21</v>
      </c>
      <c r="J265" s="42">
        <v>10</v>
      </c>
      <c r="K265" s="153">
        <v>2985.21</v>
      </c>
      <c r="L265" s="154">
        <f t="shared" si="50"/>
        <v>0.003349848084389373</v>
      </c>
      <c r="M265" s="43">
        <v>320.7</v>
      </c>
      <c r="N265" s="155">
        <f t="shared" si="51"/>
        <v>1.0742962806636718</v>
      </c>
      <c r="O265" s="155">
        <f t="shared" si="49"/>
        <v>200.99088506336238</v>
      </c>
      <c r="P265" s="155">
        <f t="shared" si="52"/>
        <v>64.45777683982031</v>
      </c>
      <c r="R265" s="10"/>
      <c r="S265" s="10"/>
    </row>
    <row r="266" spans="1:23" s="9" customFormat="1" ht="12.75">
      <c r="A266" s="181"/>
      <c r="B266" s="117" t="s">
        <v>353</v>
      </c>
      <c r="C266" s="53">
        <v>65</v>
      </c>
      <c r="D266" s="53">
        <v>1970</v>
      </c>
      <c r="E266" s="42">
        <f>F266+G266+H266</f>
        <v>29.080000000000002</v>
      </c>
      <c r="F266" s="42">
        <v>7.79</v>
      </c>
      <c r="G266" s="42">
        <v>10.4</v>
      </c>
      <c r="H266" s="42">
        <v>10.89</v>
      </c>
      <c r="I266" s="153">
        <v>3205.96</v>
      </c>
      <c r="J266" s="42">
        <v>10.89</v>
      </c>
      <c r="K266" s="153">
        <v>3205.96</v>
      </c>
      <c r="L266" s="154">
        <f t="shared" si="50"/>
        <v>0.003396798462862918</v>
      </c>
      <c r="M266" s="43">
        <v>320.7</v>
      </c>
      <c r="N266" s="155">
        <f t="shared" si="51"/>
        <v>1.0893532670401378</v>
      </c>
      <c r="O266" s="155">
        <f t="shared" si="49"/>
        <v>203.80790777177506</v>
      </c>
      <c r="P266" s="155">
        <f t="shared" si="52"/>
        <v>65.36119602240825</v>
      </c>
      <c r="Q266" s="10"/>
      <c r="R266" s="10"/>
      <c r="S266" s="10"/>
      <c r="T266" s="12"/>
      <c r="U266" s="15"/>
      <c r="V266" s="15"/>
      <c r="W266" s="16"/>
    </row>
    <row r="267" spans="1:19" s="9" customFormat="1" ht="12.75">
      <c r="A267" s="181"/>
      <c r="B267" s="79" t="s">
        <v>426</v>
      </c>
      <c r="C267" s="34">
        <v>26</v>
      </c>
      <c r="D267" s="34">
        <v>1978</v>
      </c>
      <c r="E267" s="80">
        <f>SUM(F267:H267)</f>
        <v>11.062000000000001</v>
      </c>
      <c r="F267" s="80">
        <v>2.73717</v>
      </c>
      <c r="G267" s="80">
        <v>3.785</v>
      </c>
      <c r="H267" s="80">
        <v>4.53983</v>
      </c>
      <c r="I267" s="81">
        <v>1331.23</v>
      </c>
      <c r="J267" s="80">
        <v>4.53983</v>
      </c>
      <c r="K267" s="81">
        <v>1331.23</v>
      </c>
      <c r="L267" s="36">
        <f t="shared" si="50"/>
        <v>0.0034102521728025964</v>
      </c>
      <c r="M267" s="35">
        <v>316.536</v>
      </c>
      <c r="N267" s="35">
        <f t="shared" si="51"/>
        <v>1.0794675817702426</v>
      </c>
      <c r="O267" s="35">
        <f t="shared" si="49"/>
        <v>204.6151303681558</v>
      </c>
      <c r="P267" s="35">
        <f t="shared" si="52"/>
        <v>64.76805490621456</v>
      </c>
      <c r="R267" s="10"/>
      <c r="S267" s="10"/>
    </row>
    <row r="268" spans="1:19" s="9" customFormat="1" ht="12.75">
      <c r="A268" s="181"/>
      <c r="B268" s="123" t="s">
        <v>391</v>
      </c>
      <c r="C268" s="50">
        <v>20</v>
      </c>
      <c r="D268" s="62">
        <v>1985</v>
      </c>
      <c r="E268" s="149">
        <f>F268+G268+H268</f>
        <v>9.915003</v>
      </c>
      <c r="F268" s="150">
        <v>3.0855</v>
      </c>
      <c r="G268" s="150">
        <v>3.2</v>
      </c>
      <c r="H268" s="150">
        <v>3.629503</v>
      </c>
      <c r="I268" s="151">
        <v>1062.17</v>
      </c>
      <c r="J268" s="150">
        <v>3.629503</v>
      </c>
      <c r="K268" s="151">
        <v>1062.17</v>
      </c>
      <c r="L268" s="152">
        <f t="shared" si="50"/>
        <v>0.0034170641234453993</v>
      </c>
      <c r="M268" s="61">
        <v>315.01</v>
      </c>
      <c r="N268" s="61">
        <f t="shared" si="51"/>
        <v>1.0764093695265353</v>
      </c>
      <c r="O268" s="61">
        <f t="shared" si="49"/>
        <v>205.02384740672397</v>
      </c>
      <c r="P268" s="61">
        <f t="shared" si="52"/>
        <v>64.58456217159211</v>
      </c>
      <c r="R268" s="10"/>
      <c r="S268" s="10"/>
    </row>
    <row r="269" spans="1:19" s="9" customFormat="1" ht="12.75">
      <c r="A269" s="181"/>
      <c r="B269" s="79" t="s">
        <v>788</v>
      </c>
      <c r="C269" s="34">
        <v>16</v>
      </c>
      <c r="D269" s="34">
        <v>1983</v>
      </c>
      <c r="E269" s="80">
        <v>16</v>
      </c>
      <c r="F269" s="80">
        <v>2.689</v>
      </c>
      <c r="G269" s="80">
        <v>5.6</v>
      </c>
      <c r="H269" s="80">
        <v>7.71</v>
      </c>
      <c r="I269" s="46" t="s">
        <v>782</v>
      </c>
      <c r="J269" s="80">
        <v>7.71</v>
      </c>
      <c r="K269" s="81">
        <v>2236.29</v>
      </c>
      <c r="L269" s="36">
        <f t="shared" si="50"/>
        <v>0.003447674496599278</v>
      </c>
      <c r="M269" s="35">
        <v>354.25</v>
      </c>
      <c r="N269" s="35">
        <f t="shared" si="51"/>
        <v>1.2213386904202943</v>
      </c>
      <c r="O269" s="35">
        <f t="shared" si="49"/>
        <v>206.86046979595667</v>
      </c>
      <c r="P269" s="35">
        <f t="shared" si="52"/>
        <v>73.28032142521765</v>
      </c>
      <c r="R269" s="10"/>
      <c r="S269" s="10"/>
    </row>
    <row r="270" spans="1:19" s="9" customFormat="1" ht="12.75">
      <c r="A270" s="181"/>
      <c r="B270" s="117" t="s">
        <v>354</v>
      </c>
      <c r="C270" s="53">
        <v>64</v>
      </c>
      <c r="D270" s="53">
        <v>1971</v>
      </c>
      <c r="E270" s="42">
        <f>F270+G270+H270</f>
        <v>29.560000000000002</v>
      </c>
      <c r="F270" s="42">
        <v>8.51</v>
      </c>
      <c r="G270" s="42">
        <v>10.24</v>
      </c>
      <c r="H270" s="42">
        <v>10.81</v>
      </c>
      <c r="I270" s="153">
        <v>3220.32</v>
      </c>
      <c r="J270" s="42">
        <v>10.81</v>
      </c>
      <c r="K270" s="153">
        <v>3120.96</v>
      </c>
      <c r="L270" s="154">
        <f t="shared" si="50"/>
        <v>0.0034636778427150623</v>
      </c>
      <c r="M270" s="43">
        <v>320.7</v>
      </c>
      <c r="N270" s="155">
        <f t="shared" si="51"/>
        <v>1.1108014841587204</v>
      </c>
      <c r="O270" s="155">
        <f t="shared" si="49"/>
        <v>207.82067056290373</v>
      </c>
      <c r="P270" s="155">
        <f t="shared" si="52"/>
        <v>66.64808904952324</v>
      </c>
      <c r="R270" s="10"/>
      <c r="S270" s="10"/>
    </row>
    <row r="271" spans="1:19" s="9" customFormat="1" ht="12.75" customHeight="1">
      <c r="A271" s="181"/>
      <c r="B271" s="79" t="s">
        <v>873</v>
      </c>
      <c r="C271" s="34">
        <v>20</v>
      </c>
      <c r="D271" s="34">
        <v>1989</v>
      </c>
      <c r="E271" s="80">
        <f>F271+G271+H271</f>
        <v>8.653</v>
      </c>
      <c r="F271" s="80">
        <v>1.588553</v>
      </c>
      <c r="G271" s="80">
        <v>3.4255</v>
      </c>
      <c r="H271" s="80">
        <v>3.638947</v>
      </c>
      <c r="I271" s="81">
        <v>1048.7</v>
      </c>
      <c r="J271" s="80">
        <f>H271</f>
        <v>3.638947</v>
      </c>
      <c r="K271" s="81">
        <f>I271</f>
        <v>1048.7</v>
      </c>
      <c r="L271" s="36">
        <f t="shared" si="50"/>
        <v>0.0034699599504147993</v>
      </c>
      <c r="M271" s="35">
        <f>337.7*1.09</f>
        <v>368.093</v>
      </c>
      <c r="N271" s="35">
        <f t="shared" si="51"/>
        <v>1.2772679680280348</v>
      </c>
      <c r="O271" s="35">
        <f t="shared" si="49"/>
        <v>208.19759702488795</v>
      </c>
      <c r="P271" s="35">
        <f t="shared" si="52"/>
        <v>76.63607808168209</v>
      </c>
      <c r="R271" s="10"/>
      <c r="S271" s="10"/>
    </row>
    <row r="272" spans="1:19" s="9" customFormat="1" ht="11.25" customHeight="1">
      <c r="A272" s="181"/>
      <c r="B272" s="109" t="s">
        <v>234</v>
      </c>
      <c r="C272" s="110">
        <v>28</v>
      </c>
      <c r="D272" s="34">
        <v>1976</v>
      </c>
      <c r="E272" s="80">
        <f>+F272+G272+H272</f>
        <v>13.703999</v>
      </c>
      <c r="F272" s="111">
        <v>2.84398</v>
      </c>
      <c r="G272" s="111">
        <v>4.48</v>
      </c>
      <c r="H272" s="111">
        <v>6.380019</v>
      </c>
      <c r="I272" s="112">
        <v>1831.14</v>
      </c>
      <c r="J272" s="111">
        <v>6.380019</v>
      </c>
      <c r="K272" s="112">
        <v>1831.14</v>
      </c>
      <c r="L272" s="36">
        <f>+J272/K272</f>
        <v>0.0034841787083456205</v>
      </c>
      <c r="M272" s="35">
        <v>312.83</v>
      </c>
      <c r="N272" s="35">
        <f>+L272*M272</f>
        <v>1.0899556253317604</v>
      </c>
      <c r="O272" s="35">
        <f>+L272*60*1000</f>
        <v>209.05072250073724</v>
      </c>
      <c r="P272" s="35">
        <f>+N272*60</f>
        <v>65.39733751990562</v>
      </c>
      <c r="R272" s="10"/>
      <c r="S272" s="10"/>
    </row>
    <row r="273" spans="1:19" s="9" customFormat="1" ht="12.75" customHeight="1">
      <c r="A273" s="181"/>
      <c r="B273" s="79" t="s">
        <v>127</v>
      </c>
      <c r="C273" s="34">
        <v>40</v>
      </c>
      <c r="D273" s="34">
        <v>1993</v>
      </c>
      <c r="E273" s="80">
        <v>19.787</v>
      </c>
      <c r="F273" s="80">
        <v>7.998</v>
      </c>
      <c r="G273" s="80">
        <v>4</v>
      </c>
      <c r="H273" s="80">
        <f>E273-F273-G273</f>
        <v>7.788999999999998</v>
      </c>
      <c r="I273" s="81">
        <v>2225.69</v>
      </c>
      <c r="J273" s="80">
        <f>H273</f>
        <v>7.788999999999998</v>
      </c>
      <c r="K273" s="81">
        <f>I273</f>
        <v>2225.69</v>
      </c>
      <c r="L273" s="36">
        <f aca="true" t="shared" si="53" ref="L273:L279">J273/K273</f>
        <v>0.003499588891534759</v>
      </c>
      <c r="M273" s="35">
        <v>288.2</v>
      </c>
      <c r="N273" s="35">
        <f aca="true" t="shared" si="54" ref="N273:N279">L273*M273</f>
        <v>1.0085815185403175</v>
      </c>
      <c r="O273" s="35">
        <f aca="true" t="shared" si="55" ref="O273:O304">L273*60*1000</f>
        <v>209.97533349208553</v>
      </c>
      <c r="P273" s="35">
        <f aca="true" t="shared" si="56" ref="P273:P279">O273*M273/1000</f>
        <v>60.51489111241905</v>
      </c>
      <c r="R273" s="10"/>
      <c r="S273" s="10"/>
    </row>
    <row r="274" spans="1:19" s="9" customFormat="1" ht="12.75" customHeight="1">
      <c r="A274" s="181"/>
      <c r="B274" s="117" t="s">
        <v>355</v>
      </c>
      <c r="C274" s="53">
        <v>45</v>
      </c>
      <c r="D274" s="53">
        <v>1983</v>
      </c>
      <c r="E274" s="42">
        <f>F274+G274+H274</f>
        <v>18.4</v>
      </c>
      <c r="F274" s="42">
        <v>3.05</v>
      </c>
      <c r="G274" s="42">
        <v>7.2</v>
      </c>
      <c r="H274" s="42">
        <v>8.15</v>
      </c>
      <c r="I274" s="153">
        <v>2323.8</v>
      </c>
      <c r="J274" s="42">
        <v>8.15</v>
      </c>
      <c r="K274" s="153">
        <v>2323.8</v>
      </c>
      <c r="L274" s="154">
        <f t="shared" si="53"/>
        <v>0.003507186504862725</v>
      </c>
      <c r="M274" s="43">
        <v>320.7</v>
      </c>
      <c r="N274" s="155">
        <f t="shared" si="54"/>
        <v>1.1247547121094759</v>
      </c>
      <c r="O274" s="155">
        <f t="shared" si="55"/>
        <v>210.4311902917635</v>
      </c>
      <c r="P274" s="155">
        <f t="shared" si="56"/>
        <v>67.48528272656854</v>
      </c>
      <c r="R274" s="10"/>
      <c r="S274" s="10"/>
    </row>
    <row r="275" spans="1:19" s="9" customFormat="1" ht="12.75" customHeight="1">
      <c r="A275" s="181"/>
      <c r="B275" s="79" t="s">
        <v>744</v>
      </c>
      <c r="C275" s="34">
        <v>50</v>
      </c>
      <c r="D275" s="34" t="s">
        <v>31</v>
      </c>
      <c r="E275" s="80">
        <f>F275+G275+H275</f>
        <v>21.025</v>
      </c>
      <c r="F275" s="80">
        <v>4.214</v>
      </c>
      <c r="G275" s="80">
        <v>8</v>
      </c>
      <c r="H275" s="80">
        <v>8.811</v>
      </c>
      <c r="I275" s="81">
        <v>2510.79</v>
      </c>
      <c r="J275" s="80">
        <v>8.811</v>
      </c>
      <c r="K275" s="81">
        <v>2510.79</v>
      </c>
      <c r="L275" s="36">
        <f t="shared" si="53"/>
        <v>0.0035092540594792872</v>
      </c>
      <c r="M275" s="35">
        <v>361.99</v>
      </c>
      <c r="N275" s="35">
        <f t="shared" si="54"/>
        <v>1.2703148769909072</v>
      </c>
      <c r="O275" s="35">
        <f t="shared" si="55"/>
        <v>210.55524356875725</v>
      </c>
      <c r="P275" s="35">
        <f t="shared" si="56"/>
        <v>76.21889261945444</v>
      </c>
      <c r="R275" s="10"/>
      <c r="S275" s="10"/>
    </row>
    <row r="276" spans="1:19" s="9" customFormat="1" ht="12.75" customHeight="1">
      <c r="A276" s="181"/>
      <c r="B276" s="79" t="s">
        <v>789</v>
      </c>
      <c r="C276" s="34">
        <v>45</v>
      </c>
      <c r="D276" s="34">
        <v>1984</v>
      </c>
      <c r="E276" s="80">
        <v>21</v>
      </c>
      <c r="F276" s="80">
        <v>5.721</v>
      </c>
      <c r="G276" s="80">
        <v>7.12</v>
      </c>
      <c r="H276" s="80">
        <v>8.159</v>
      </c>
      <c r="I276" s="46" t="s">
        <v>790</v>
      </c>
      <c r="J276" s="80">
        <v>8.159</v>
      </c>
      <c r="K276" s="81">
        <v>2323</v>
      </c>
      <c r="L276" s="36">
        <f t="shared" si="53"/>
        <v>0.0035122686181661648</v>
      </c>
      <c r="M276" s="35">
        <v>354.25</v>
      </c>
      <c r="N276" s="35">
        <f t="shared" si="54"/>
        <v>1.244221157985364</v>
      </c>
      <c r="O276" s="35">
        <f t="shared" si="55"/>
        <v>210.7361170899699</v>
      </c>
      <c r="P276" s="35">
        <f t="shared" si="56"/>
        <v>74.65326947912183</v>
      </c>
      <c r="R276" s="10"/>
      <c r="S276" s="10"/>
    </row>
    <row r="277" spans="1:19" s="9" customFormat="1" ht="12.75" customHeight="1">
      <c r="A277" s="181"/>
      <c r="B277" s="79" t="s">
        <v>874</v>
      </c>
      <c r="C277" s="34">
        <v>50</v>
      </c>
      <c r="D277" s="34">
        <v>1972</v>
      </c>
      <c r="E277" s="80">
        <f>F277+G277+H277</f>
        <v>19.696001000000003</v>
      </c>
      <c r="F277" s="80">
        <v>2.665749</v>
      </c>
      <c r="G277" s="80">
        <v>8</v>
      </c>
      <c r="H277" s="80">
        <v>9.030252</v>
      </c>
      <c r="I277" s="81">
        <v>2563.1</v>
      </c>
      <c r="J277" s="80">
        <f>H277</f>
        <v>9.030252</v>
      </c>
      <c r="K277" s="81">
        <f>I277</f>
        <v>2563.1</v>
      </c>
      <c r="L277" s="36">
        <f t="shared" si="53"/>
        <v>0.0035231758417541264</v>
      </c>
      <c r="M277" s="35">
        <f>337.7*1.09</f>
        <v>368.093</v>
      </c>
      <c r="N277" s="35">
        <f t="shared" si="54"/>
        <v>1.2968563651188016</v>
      </c>
      <c r="O277" s="35">
        <f t="shared" si="55"/>
        <v>211.39055050524757</v>
      </c>
      <c r="P277" s="35">
        <f t="shared" si="56"/>
        <v>77.81138190712811</v>
      </c>
      <c r="R277" s="10"/>
      <c r="S277" s="10"/>
    </row>
    <row r="278" spans="1:22" s="9" customFormat="1" ht="12.75">
      <c r="A278" s="181"/>
      <c r="B278" s="123" t="s">
        <v>392</v>
      </c>
      <c r="C278" s="50">
        <v>12</v>
      </c>
      <c r="D278" s="62">
        <v>1990</v>
      </c>
      <c r="E278" s="149">
        <f>F278+G278+H278</f>
        <v>6.068001000000001</v>
      </c>
      <c r="F278" s="150">
        <v>1.53</v>
      </c>
      <c r="G278" s="150">
        <v>1.92</v>
      </c>
      <c r="H278" s="150">
        <v>2.618001</v>
      </c>
      <c r="I278" s="151">
        <v>740.65</v>
      </c>
      <c r="J278" s="150">
        <v>2.618001</v>
      </c>
      <c r="K278" s="151">
        <v>740.65</v>
      </c>
      <c r="L278" s="152">
        <f t="shared" si="53"/>
        <v>0.0035347343549584826</v>
      </c>
      <c r="M278" s="61">
        <v>315.01</v>
      </c>
      <c r="N278" s="61">
        <f t="shared" si="54"/>
        <v>1.1134766691554716</v>
      </c>
      <c r="O278" s="61">
        <f t="shared" si="55"/>
        <v>212.08406129750895</v>
      </c>
      <c r="P278" s="61">
        <f t="shared" si="56"/>
        <v>66.8086001493283</v>
      </c>
      <c r="Q278" s="10"/>
      <c r="R278" s="10"/>
      <c r="S278" s="10"/>
      <c r="T278" s="12"/>
      <c r="U278" s="13"/>
      <c r="V278" s="13"/>
    </row>
    <row r="279" spans="1:19" s="9" customFormat="1" ht="12.75">
      <c r="A279" s="181"/>
      <c r="B279" s="123" t="s">
        <v>393</v>
      </c>
      <c r="C279" s="50">
        <v>30</v>
      </c>
      <c r="D279" s="62">
        <v>1990</v>
      </c>
      <c r="E279" s="149">
        <f>F279+G279+H279</f>
        <v>13.696999</v>
      </c>
      <c r="F279" s="150">
        <v>3.1875</v>
      </c>
      <c r="G279" s="150">
        <v>4.8</v>
      </c>
      <c r="H279" s="150">
        <v>5.709499</v>
      </c>
      <c r="I279" s="151">
        <v>1613.04</v>
      </c>
      <c r="J279" s="150">
        <v>5.709499</v>
      </c>
      <c r="K279" s="151">
        <v>1613.04</v>
      </c>
      <c r="L279" s="152">
        <f t="shared" si="53"/>
        <v>0.0035395892228339038</v>
      </c>
      <c r="M279" s="61">
        <v>315.01</v>
      </c>
      <c r="N279" s="61">
        <f t="shared" si="54"/>
        <v>1.115006001084908</v>
      </c>
      <c r="O279" s="61">
        <f t="shared" si="55"/>
        <v>212.37535337003422</v>
      </c>
      <c r="P279" s="61">
        <f t="shared" si="56"/>
        <v>66.90036006509447</v>
      </c>
      <c r="Q279" s="11"/>
      <c r="R279" s="10"/>
      <c r="S279" s="10"/>
    </row>
    <row r="280" spans="1:19" s="9" customFormat="1" ht="12.75" customHeight="1">
      <c r="A280" s="181"/>
      <c r="B280" s="79" t="s">
        <v>817</v>
      </c>
      <c r="C280" s="34">
        <v>40</v>
      </c>
      <c r="D280" s="34">
        <v>1986</v>
      </c>
      <c r="E280" s="80">
        <f>SUM(F280+G280+H280)</f>
        <v>19.2</v>
      </c>
      <c r="F280" s="80">
        <v>4.8</v>
      </c>
      <c r="G280" s="80">
        <v>6.4</v>
      </c>
      <c r="H280" s="80">
        <v>8</v>
      </c>
      <c r="I280" s="81">
        <v>2246.36</v>
      </c>
      <c r="J280" s="80">
        <v>8</v>
      </c>
      <c r="K280" s="81">
        <v>2246.4</v>
      </c>
      <c r="L280" s="36">
        <f>SUM(J280/K280)</f>
        <v>0.0035612535612535613</v>
      </c>
      <c r="M280" s="35">
        <v>214.3</v>
      </c>
      <c r="N280" s="35">
        <f>SUM(L280*M280)</f>
        <v>0.7631766381766383</v>
      </c>
      <c r="O280" s="35">
        <f t="shared" si="55"/>
        <v>213.67521367521368</v>
      </c>
      <c r="P280" s="35">
        <f>SUM(N280*60)</f>
        <v>45.7905982905983</v>
      </c>
      <c r="R280" s="10"/>
      <c r="S280" s="10"/>
    </row>
    <row r="281" spans="1:19" s="9" customFormat="1" ht="12.75">
      <c r="A281" s="181"/>
      <c r="B281" s="79" t="s">
        <v>818</v>
      </c>
      <c r="C281" s="34">
        <v>40</v>
      </c>
      <c r="D281" s="34">
        <v>1998</v>
      </c>
      <c r="E281" s="80">
        <f>SUM(F281+G281+H281)</f>
        <v>18.1</v>
      </c>
      <c r="F281" s="80">
        <v>4</v>
      </c>
      <c r="G281" s="80">
        <v>6.4</v>
      </c>
      <c r="H281" s="80">
        <v>7.7</v>
      </c>
      <c r="I281" s="81">
        <v>2183.72</v>
      </c>
      <c r="J281" s="80">
        <v>7.6</v>
      </c>
      <c r="K281" s="81">
        <v>2133.76</v>
      </c>
      <c r="L281" s="36">
        <f>SUM(J281/K281)</f>
        <v>0.003561787642471505</v>
      </c>
      <c r="M281" s="35">
        <v>214.3</v>
      </c>
      <c r="N281" s="35">
        <f>SUM(L281*M281)</f>
        <v>0.7632910917816436</v>
      </c>
      <c r="O281" s="35">
        <f t="shared" si="55"/>
        <v>213.70725854829033</v>
      </c>
      <c r="P281" s="35">
        <f>SUM(N281*60)</f>
        <v>45.79746550689861</v>
      </c>
      <c r="R281" s="10"/>
      <c r="S281" s="10"/>
    </row>
    <row r="282" spans="1:25" s="9" customFormat="1" ht="12.75">
      <c r="A282" s="181"/>
      <c r="B282" s="79" t="s">
        <v>90</v>
      </c>
      <c r="C282" s="34">
        <v>50</v>
      </c>
      <c r="D282" s="34">
        <v>1988</v>
      </c>
      <c r="E282" s="80">
        <v>29.15</v>
      </c>
      <c r="F282" s="80">
        <v>8.36</v>
      </c>
      <c r="G282" s="80">
        <v>8</v>
      </c>
      <c r="H282" s="80">
        <f>E282-F282-G282</f>
        <v>12.79</v>
      </c>
      <c r="I282" s="81">
        <v>3582.3</v>
      </c>
      <c r="J282" s="80">
        <f>H282/I282*K282</f>
        <v>12.79</v>
      </c>
      <c r="K282" s="81">
        <v>3582.3</v>
      </c>
      <c r="L282" s="36">
        <f aca="true" t="shared" si="57" ref="L282:L304">J282/K282</f>
        <v>0.003570331909666973</v>
      </c>
      <c r="M282" s="35">
        <v>332.56</v>
      </c>
      <c r="N282" s="35">
        <f aca="true" t="shared" si="58" ref="N282:N304">L282*M282</f>
        <v>1.1873495798788487</v>
      </c>
      <c r="O282" s="35">
        <f t="shared" si="55"/>
        <v>214.21991458001838</v>
      </c>
      <c r="P282" s="35">
        <f aca="true" t="shared" si="59" ref="P282:P291">O282*M282/1000</f>
        <v>71.24097479273091</v>
      </c>
      <c r="Q282" s="10"/>
      <c r="R282" s="10"/>
      <c r="S282" s="10"/>
      <c r="T282" s="12"/>
      <c r="U282" s="13"/>
      <c r="V282" s="13"/>
      <c r="X282" s="16"/>
      <c r="Y282" s="16"/>
    </row>
    <row r="283" spans="1:19" s="9" customFormat="1" ht="12.75">
      <c r="A283" s="181"/>
      <c r="B283" s="117" t="s">
        <v>253</v>
      </c>
      <c r="C283" s="53">
        <v>20</v>
      </c>
      <c r="D283" s="53">
        <v>2010</v>
      </c>
      <c r="E283" s="80">
        <v>5.368</v>
      </c>
      <c r="F283" s="80">
        <v>1.224</v>
      </c>
      <c r="G283" s="80">
        <v>0.8</v>
      </c>
      <c r="H283" s="80">
        <v>3.344</v>
      </c>
      <c r="I283" s="81">
        <v>935.41</v>
      </c>
      <c r="J283" s="80">
        <v>3.344</v>
      </c>
      <c r="K283" s="81">
        <v>935.41</v>
      </c>
      <c r="L283" s="36">
        <f t="shared" si="57"/>
        <v>0.0035749029837183694</v>
      </c>
      <c r="M283" s="35">
        <v>343.459</v>
      </c>
      <c r="N283" s="35">
        <f t="shared" si="58"/>
        <v>1.2278326038849274</v>
      </c>
      <c r="O283" s="35">
        <f t="shared" si="55"/>
        <v>214.49417902310216</v>
      </c>
      <c r="P283" s="35">
        <f t="shared" si="59"/>
        <v>73.66995623309563</v>
      </c>
      <c r="R283" s="10"/>
      <c r="S283" s="10"/>
    </row>
    <row r="284" spans="1:19" s="9" customFormat="1" ht="12.75">
      <c r="A284" s="181"/>
      <c r="B284" s="117" t="s">
        <v>258</v>
      </c>
      <c r="C284" s="53">
        <v>40</v>
      </c>
      <c r="D284" s="53">
        <v>1984</v>
      </c>
      <c r="E284" s="80">
        <v>18.292</v>
      </c>
      <c r="F284" s="80">
        <v>3.774</v>
      </c>
      <c r="G284" s="80">
        <v>6.4</v>
      </c>
      <c r="H284" s="80">
        <v>8.118</v>
      </c>
      <c r="I284" s="81">
        <v>2269.42</v>
      </c>
      <c r="J284" s="80">
        <v>8.118</v>
      </c>
      <c r="K284" s="81">
        <v>2269.42</v>
      </c>
      <c r="L284" s="36">
        <f t="shared" si="57"/>
        <v>0.0035771254329299996</v>
      </c>
      <c r="M284" s="35">
        <v>343.459</v>
      </c>
      <c r="N284" s="35">
        <f t="shared" si="58"/>
        <v>1.2285959240687048</v>
      </c>
      <c r="O284" s="35">
        <f t="shared" si="55"/>
        <v>214.62752597579998</v>
      </c>
      <c r="P284" s="35">
        <f t="shared" si="59"/>
        <v>73.7157554441223</v>
      </c>
      <c r="R284" s="10"/>
      <c r="S284" s="10"/>
    </row>
    <row r="285" spans="1:19" s="9" customFormat="1" ht="12.75">
      <c r="A285" s="181"/>
      <c r="B285" s="79" t="s">
        <v>628</v>
      </c>
      <c r="C285" s="34">
        <v>80</v>
      </c>
      <c r="D285" s="34" t="s">
        <v>31</v>
      </c>
      <c r="E285" s="80">
        <f>SUM(F285:H285)</f>
        <v>29.2</v>
      </c>
      <c r="F285" s="80">
        <v>5.2</v>
      </c>
      <c r="G285" s="80">
        <v>11.7</v>
      </c>
      <c r="H285" s="80">
        <v>12.3</v>
      </c>
      <c r="I285" s="81">
        <v>3898.3</v>
      </c>
      <c r="J285" s="80">
        <v>12.3</v>
      </c>
      <c r="K285" s="81">
        <v>3435.94</v>
      </c>
      <c r="L285" s="154">
        <f t="shared" si="57"/>
        <v>0.003579806399413261</v>
      </c>
      <c r="M285" s="43">
        <v>209.8</v>
      </c>
      <c r="N285" s="155">
        <f t="shared" si="58"/>
        <v>0.7510433825969023</v>
      </c>
      <c r="O285" s="155">
        <f t="shared" si="55"/>
        <v>214.78838396479566</v>
      </c>
      <c r="P285" s="155">
        <f t="shared" si="59"/>
        <v>45.06260295581413</v>
      </c>
      <c r="R285" s="10"/>
      <c r="S285" s="10"/>
    </row>
    <row r="286" spans="1:19" s="9" customFormat="1" ht="12.75">
      <c r="A286" s="181"/>
      <c r="B286" s="117" t="s">
        <v>356</v>
      </c>
      <c r="C286" s="53">
        <v>66</v>
      </c>
      <c r="D286" s="53">
        <v>1972</v>
      </c>
      <c r="E286" s="42">
        <f>F286+G286+H286</f>
        <v>28.189999999999998</v>
      </c>
      <c r="F286" s="42">
        <v>6.25</v>
      </c>
      <c r="G286" s="42">
        <v>10.4</v>
      </c>
      <c r="H286" s="42">
        <v>11.54</v>
      </c>
      <c r="I286" s="153">
        <v>3215.54</v>
      </c>
      <c r="J286" s="42">
        <v>11.54</v>
      </c>
      <c r="K286" s="153">
        <v>3215.54</v>
      </c>
      <c r="L286" s="154">
        <f t="shared" si="57"/>
        <v>0.003588821784210428</v>
      </c>
      <c r="M286" s="43">
        <v>320.7</v>
      </c>
      <c r="N286" s="155">
        <f t="shared" si="58"/>
        <v>1.1509351461962842</v>
      </c>
      <c r="O286" s="155">
        <f t="shared" si="55"/>
        <v>215.32930705262567</v>
      </c>
      <c r="P286" s="155">
        <f t="shared" si="59"/>
        <v>69.05610877177705</v>
      </c>
      <c r="R286" s="10"/>
      <c r="S286" s="10"/>
    </row>
    <row r="287" spans="1:19" s="9" customFormat="1" ht="12.75" customHeight="1">
      <c r="A287" s="181"/>
      <c r="B287" s="79" t="s">
        <v>328</v>
      </c>
      <c r="C287" s="34">
        <v>12</v>
      </c>
      <c r="D287" s="34">
        <v>1963</v>
      </c>
      <c r="E287" s="80">
        <v>4.673991</v>
      </c>
      <c r="F287" s="80">
        <v>0.877812</v>
      </c>
      <c r="G287" s="80">
        <v>1.89678</v>
      </c>
      <c r="H287" s="80">
        <v>1.899399</v>
      </c>
      <c r="I287" s="81">
        <v>528.5</v>
      </c>
      <c r="J287" s="80">
        <v>1.899406</v>
      </c>
      <c r="K287" s="81">
        <v>528.5</v>
      </c>
      <c r="L287" s="36">
        <f t="shared" si="57"/>
        <v>0.003593956480605487</v>
      </c>
      <c r="M287" s="35">
        <v>247.6</v>
      </c>
      <c r="N287" s="35">
        <f t="shared" si="58"/>
        <v>0.8898636245979186</v>
      </c>
      <c r="O287" s="35">
        <f t="shared" si="55"/>
        <v>215.63738883632922</v>
      </c>
      <c r="P287" s="35">
        <f t="shared" si="59"/>
        <v>53.391817475875115</v>
      </c>
      <c r="R287" s="10"/>
      <c r="S287" s="10"/>
    </row>
    <row r="288" spans="1:19" s="9" customFormat="1" ht="12.75">
      <c r="A288" s="181"/>
      <c r="B288" s="79" t="s">
        <v>791</v>
      </c>
      <c r="C288" s="34">
        <v>10</v>
      </c>
      <c r="D288" s="34">
        <v>1978</v>
      </c>
      <c r="E288" s="80">
        <v>4.434</v>
      </c>
      <c r="F288" s="80">
        <v>0.821</v>
      </c>
      <c r="G288" s="80">
        <v>1.6</v>
      </c>
      <c r="H288" s="80">
        <v>2.012</v>
      </c>
      <c r="I288" s="46" t="s">
        <v>782</v>
      </c>
      <c r="J288" s="80">
        <v>2.012</v>
      </c>
      <c r="K288" s="81">
        <v>556.73</v>
      </c>
      <c r="L288" s="36">
        <f t="shared" si="57"/>
        <v>0.003613960088373179</v>
      </c>
      <c r="M288" s="35">
        <v>354.25</v>
      </c>
      <c r="N288" s="35">
        <f t="shared" si="58"/>
        <v>1.2802453613061986</v>
      </c>
      <c r="O288" s="35">
        <f t="shared" si="55"/>
        <v>216.83760530239073</v>
      </c>
      <c r="P288" s="35">
        <f t="shared" si="59"/>
        <v>76.81472167837192</v>
      </c>
      <c r="R288" s="10"/>
      <c r="S288" s="10"/>
    </row>
    <row r="289" spans="1:19" s="9" customFormat="1" ht="12.75">
      <c r="A289" s="181"/>
      <c r="B289" s="117" t="s">
        <v>357</v>
      </c>
      <c r="C289" s="53">
        <v>75</v>
      </c>
      <c r="D289" s="53">
        <v>1981</v>
      </c>
      <c r="E289" s="42">
        <f>F289+G289+H289</f>
        <v>32.41</v>
      </c>
      <c r="F289" s="42">
        <v>6.25</v>
      </c>
      <c r="G289" s="42">
        <v>11.84</v>
      </c>
      <c r="H289" s="42">
        <v>14.32</v>
      </c>
      <c r="I289" s="153">
        <v>4034.29</v>
      </c>
      <c r="J289" s="42">
        <v>14.32</v>
      </c>
      <c r="K289" s="153">
        <v>3952.66</v>
      </c>
      <c r="L289" s="154">
        <f t="shared" si="57"/>
        <v>0.0036228767462923705</v>
      </c>
      <c r="M289" s="43">
        <v>320.7</v>
      </c>
      <c r="N289" s="155">
        <f t="shared" si="58"/>
        <v>1.161856572535963</v>
      </c>
      <c r="O289" s="155">
        <f t="shared" si="55"/>
        <v>217.37260477754222</v>
      </c>
      <c r="P289" s="155">
        <f t="shared" si="59"/>
        <v>69.71139435215778</v>
      </c>
      <c r="R289" s="10"/>
      <c r="S289" s="10"/>
    </row>
    <row r="290" spans="1:19" s="9" customFormat="1" ht="12.75">
      <c r="A290" s="181"/>
      <c r="B290" s="79" t="s">
        <v>427</v>
      </c>
      <c r="C290" s="34">
        <v>46</v>
      </c>
      <c r="D290" s="34">
        <v>1990</v>
      </c>
      <c r="E290" s="80">
        <f>SUM(F290:H290)</f>
        <v>20.981</v>
      </c>
      <c r="F290" s="80">
        <v>4.34727</v>
      </c>
      <c r="G290" s="80">
        <v>7.36</v>
      </c>
      <c r="H290" s="80">
        <v>9.27373</v>
      </c>
      <c r="I290" s="81">
        <v>2558.37</v>
      </c>
      <c r="J290" s="80">
        <v>9.27373</v>
      </c>
      <c r="K290" s="81">
        <v>2558.37</v>
      </c>
      <c r="L290" s="36">
        <f t="shared" si="57"/>
        <v>0.003624858796812033</v>
      </c>
      <c r="M290" s="35">
        <v>316.536</v>
      </c>
      <c r="N290" s="35">
        <f t="shared" si="58"/>
        <v>1.1473983041076936</v>
      </c>
      <c r="O290" s="35">
        <f t="shared" si="55"/>
        <v>217.49152780872197</v>
      </c>
      <c r="P290" s="35">
        <f t="shared" si="59"/>
        <v>68.8438982464616</v>
      </c>
      <c r="R290" s="10"/>
      <c r="S290" s="10"/>
    </row>
    <row r="291" spans="1:19" s="9" customFormat="1" ht="12.75">
      <c r="A291" s="181"/>
      <c r="B291" s="123" t="s">
        <v>394</v>
      </c>
      <c r="C291" s="50">
        <v>49</v>
      </c>
      <c r="D291" s="62">
        <v>1969</v>
      </c>
      <c r="E291" s="149">
        <f>F291+G291+H291</f>
        <v>21.644604</v>
      </c>
      <c r="F291" s="150">
        <v>4.576791</v>
      </c>
      <c r="G291" s="150">
        <v>7.84</v>
      </c>
      <c r="H291" s="150">
        <v>9.227813</v>
      </c>
      <c r="I291" s="151">
        <v>2600.39</v>
      </c>
      <c r="J291" s="150">
        <v>9.227813</v>
      </c>
      <c r="K291" s="151">
        <v>2528.6</v>
      </c>
      <c r="L291" s="152">
        <f t="shared" si="57"/>
        <v>0.003649376334730681</v>
      </c>
      <c r="M291" s="61">
        <v>315.01</v>
      </c>
      <c r="N291" s="61">
        <f t="shared" si="58"/>
        <v>1.1495900392035117</v>
      </c>
      <c r="O291" s="61">
        <f t="shared" si="55"/>
        <v>218.96258008384083</v>
      </c>
      <c r="P291" s="61">
        <f t="shared" si="59"/>
        <v>68.97540235221071</v>
      </c>
      <c r="R291" s="10"/>
      <c r="S291" s="10"/>
    </row>
    <row r="292" spans="1:19" s="9" customFormat="1" ht="12.75">
      <c r="A292" s="181"/>
      <c r="B292" s="79" t="s">
        <v>47</v>
      </c>
      <c r="C292" s="34">
        <v>28</v>
      </c>
      <c r="D292" s="34">
        <v>2000</v>
      </c>
      <c r="E292" s="80">
        <v>14.347</v>
      </c>
      <c r="F292" s="80">
        <v>4.485286</v>
      </c>
      <c r="G292" s="80">
        <v>4.4</v>
      </c>
      <c r="H292" s="80">
        <v>5.461715</v>
      </c>
      <c r="I292" s="81">
        <v>1552.52</v>
      </c>
      <c r="J292" s="80">
        <f>H292</f>
        <v>5.461715</v>
      </c>
      <c r="K292" s="81">
        <v>1463.69</v>
      </c>
      <c r="L292" s="36">
        <f t="shared" si="57"/>
        <v>0.003731469778436691</v>
      </c>
      <c r="M292" s="35">
        <v>306.181</v>
      </c>
      <c r="N292" s="35">
        <f t="shared" si="58"/>
        <v>1.1425051482315243</v>
      </c>
      <c r="O292" s="35">
        <f t="shared" si="55"/>
        <v>223.88818670620145</v>
      </c>
      <c r="P292" s="35">
        <f>N292*60</f>
        <v>68.55030889389145</v>
      </c>
      <c r="R292" s="10"/>
      <c r="S292" s="10"/>
    </row>
    <row r="293" spans="1:19" s="9" customFormat="1" ht="12.75">
      <c r="A293" s="181"/>
      <c r="B293" s="79" t="s">
        <v>875</v>
      </c>
      <c r="C293" s="34">
        <v>44</v>
      </c>
      <c r="D293" s="34">
        <v>1968</v>
      </c>
      <c r="E293" s="80">
        <f>F293+G293+H293</f>
        <v>20.028070999999997</v>
      </c>
      <c r="F293" s="80">
        <v>2.78675</v>
      </c>
      <c r="G293" s="80">
        <v>7.84</v>
      </c>
      <c r="H293" s="80">
        <v>9.401321</v>
      </c>
      <c r="I293" s="81">
        <v>2515.7</v>
      </c>
      <c r="J293" s="80">
        <f>H293</f>
        <v>9.401321</v>
      </c>
      <c r="K293" s="81">
        <f>I293</f>
        <v>2515.7</v>
      </c>
      <c r="L293" s="36">
        <f t="shared" si="57"/>
        <v>0.003737059665301904</v>
      </c>
      <c r="M293" s="35">
        <f>337.7*1.09</f>
        <v>368.093</v>
      </c>
      <c r="N293" s="35">
        <f t="shared" si="58"/>
        <v>1.3755855033799738</v>
      </c>
      <c r="O293" s="35">
        <f t="shared" si="55"/>
        <v>224.22357991811424</v>
      </c>
      <c r="P293" s="35">
        <f aca="true" t="shared" si="60" ref="P293:P301">O293*M293/1000</f>
        <v>82.53513020279844</v>
      </c>
      <c r="R293" s="10"/>
      <c r="S293" s="10"/>
    </row>
    <row r="294" spans="1:19" s="9" customFormat="1" ht="12.75">
      <c r="A294" s="181"/>
      <c r="B294" s="123" t="s">
        <v>395</v>
      </c>
      <c r="C294" s="50">
        <v>30</v>
      </c>
      <c r="D294" s="62">
        <v>1974</v>
      </c>
      <c r="E294" s="149">
        <f>F294+G294+H294</f>
        <v>14.046999</v>
      </c>
      <c r="F294" s="150">
        <v>2.7213600000000002</v>
      </c>
      <c r="G294" s="150">
        <v>4.8</v>
      </c>
      <c r="H294" s="150">
        <v>6.525639</v>
      </c>
      <c r="I294" s="151">
        <v>1743.53</v>
      </c>
      <c r="J294" s="150">
        <v>6.525639</v>
      </c>
      <c r="K294" s="151">
        <v>1743.53</v>
      </c>
      <c r="L294" s="152">
        <f t="shared" si="57"/>
        <v>0.003742774142113987</v>
      </c>
      <c r="M294" s="61">
        <v>315.01</v>
      </c>
      <c r="N294" s="61">
        <f t="shared" si="58"/>
        <v>1.1790112825073271</v>
      </c>
      <c r="O294" s="61">
        <f t="shared" si="55"/>
        <v>224.56644852683925</v>
      </c>
      <c r="P294" s="61">
        <f t="shared" si="60"/>
        <v>70.74067695043964</v>
      </c>
      <c r="R294" s="10"/>
      <c r="S294" s="10"/>
    </row>
    <row r="295" spans="1:19" s="9" customFormat="1" ht="12.75">
      <c r="A295" s="181"/>
      <c r="B295" s="79" t="s">
        <v>128</v>
      </c>
      <c r="C295" s="34">
        <v>40</v>
      </c>
      <c r="D295" s="34">
        <v>1965</v>
      </c>
      <c r="E295" s="80">
        <v>12.123</v>
      </c>
      <c r="F295" s="80">
        <v>5.029</v>
      </c>
      <c r="G295" s="80">
        <v>0.4</v>
      </c>
      <c r="H295" s="80">
        <f>E295-F295-G295</f>
        <v>6.693999999999999</v>
      </c>
      <c r="I295" s="81">
        <v>1785.92</v>
      </c>
      <c r="J295" s="80">
        <f>H295</f>
        <v>6.693999999999999</v>
      </c>
      <c r="K295" s="81">
        <f>I295</f>
        <v>1785.92</v>
      </c>
      <c r="L295" s="36">
        <f t="shared" si="57"/>
        <v>0.0037482082064146205</v>
      </c>
      <c r="M295" s="35">
        <v>288.2</v>
      </c>
      <c r="N295" s="35">
        <f t="shared" si="58"/>
        <v>1.0802336050886936</v>
      </c>
      <c r="O295" s="35">
        <f t="shared" si="55"/>
        <v>224.89249238487724</v>
      </c>
      <c r="P295" s="35">
        <f t="shared" si="60"/>
        <v>64.81401630532162</v>
      </c>
      <c r="R295" s="10"/>
      <c r="S295" s="10"/>
    </row>
    <row r="296" spans="1:19" s="9" customFormat="1" ht="12.75">
      <c r="A296" s="181"/>
      <c r="B296" s="123" t="s">
        <v>396</v>
      </c>
      <c r="C296" s="50">
        <v>39</v>
      </c>
      <c r="D296" s="62">
        <v>1990</v>
      </c>
      <c r="E296" s="149">
        <f>F296+G296+H296</f>
        <v>18.273998</v>
      </c>
      <c r="F296" s="150">
        <v>3.272007</v>
      </c>
      <c r="G296" s="150">
        <v>6.4</v>
      </c>
      <c r="H296" s="150">
        <v>8.601991</v>
      </c>
      <c r="I296" s="151">
        <v>2294.05</v>
      </c>
      <c r="J296" s="150">
        <v>8.601991</v>
      </c>
      <c r="K296" s="151">
        <v>2294.05</v>
      </c>
      <c r="L296" s="152">
        <f t="shared" si="57"/>
        <v>0.0037496963884832498</v>
      </c>
      <c r="M296" s="61">
        <v>315.01</v>
      </c>
      <c r="N296" s="61">
        <f t="shared" si="58"/>
        <v>1.1811918593361084</v>
      </c>
      <c r="O296" s="61">
        <f t="shared" si="55"/>
        <v>224.98178330899498</v>
      </c>
      <c r="P296" s="61">
        <f t="shared" si="60"/>
        <v>70.8715115601665</v>
      </c>
      <c r="R296" s="10"/>
      <c r="S296" s="10"/>
    </row>
    <row r="297" spans="1:19" s="9" customFormat="1" ht="11.25" customHeight="1">
      <c r="A297" s="181"/>
      <c r="B297" s="79" t="s">
        <v>329</v>
      </c>
      <c r="C297" s="34">
        <v>32</v>
      </c>
      <c r="D297" s="34">
        <v>1977</v>
      </c>
      <c r="E297" s="80">
        <v>16.014985</v>
      </c>
      <c r="F297" s="80">
        <v>2.29245</v>
      </c>
      <c r="G297" s="80">
        <v>6.954848</v>
      </c>
      <c r="H297" s="80">
        <v>6.767687</v>
      </c>
      <c r="I297" s="81">
        <v>1794.45</v>
      </c>
      <c r="J297" s="80">
        <v>6.767701</v>
      </c>
      <c r="K297" s="81">
        <v>1794.45</v>
      </c>
      <c r="L297" s="36">
        <f t="shared" si="57"/>
        <v>0.003771462565131377</v>
      </c>
      <c r="M297" s="35">
        <v>247.6</v>
      </c>
      <c r="N297" s="35">
        <f t="shared" si="58"/>
        <v>0.933814131126529</v>
      </c>
      <c r="O297" s="35">
        <f t="shared" si="55"/>
        <v>226.28775390788263</v>
      </c>
      <c r="P297" s="35">
        <f t="shared" si="60"/>
        <v>56.028847867591736</v>
      </c>
      <c r="R297" s="10"/>
      <c r="S297" s="10"/>
    </row>
    <row r="298" spans="1:19" s="9" customFormat="1" ht="12.75" customHeight="1">
      <c r="A298" s="181"/>
      <c r="B298" s="79" t="s">
        <v>428</v>
      </c>
      <c r="C298" s="34">
        <v>12</v>
      </c>
      <c r="D298" s="34">
        <v>1979</v>
      </c>
      <c r="E298" s="80">
        <f>SUM(F298:H298)</f>
        <v>5.3322</v>
      </c>
      <c r="F298" s="80">
        <v>0.778215</v>
      </c>
      <c r="G298" s="80">
        <v>1.84</v>
      </c>
      <c r="H298" s="80">
        <v>2.713985</v>
      </c>
      <c r="I298" s="81">
        <v>715.63</v>
      </c>
      <c r="J298" s="80">
        <v>2.713985</v>
      </c>
      <c r="K298" s="81">
        <v>715.63</v>
      </c>
      <c r="L298" s="36">
        <f t="shared" si="57"/>
        <v>0.00379244162486201</v>
      </c>
      <c r="M298" s="35">
        <v>316.536</v>
      </c>
      <c r="N298" s="35">
        <f t="shared" si="58"/>
        <v>1.2004443021673212</v>
      </c>
      <c r="O298" s="35">
        <f t="shared" si="55"/>
        <v>227.5464974917206</v>
      </c>
      <c r="P298" s="35">
        <f t="shared" si="60"/>
        <v>72.02665813003927</v>
      </c>
      <c r="R298" s="10"/>
      <c r="S298" s="10"/>
    </row>
    <row r="299" spans="1:19" s="9" customFormat="1" ht="12.75" customHeight="1">
      <c r="A299" s="181"/>
      <c r="B299" s="79" t="s">
        <v>91</v>
      </c>
      <c r="C299" s="34">
        <v>54</v>
      </c>
      <c r="D299" s="34">
        <v>1985</v>
      </c>
      <c r="E299" s="80">
        <v>29.41</v>
      </c>
      <c r="F299" s="80">
        <v>7.7</v>
      </c>
      <c r="G299" s="80">
        <v>8.48</v>
      </c>
      <c r="H299" s="80">
        <f>E299-F299-G299</f>
        <v>13.23</v>
      </c>
      <c r="I299" s="81">
        <v>3480</v>
      </c>
      <c r="J299" s="80">
        <f>H299/I299*K299</f>
        <v>13.23</v>
      </c>
      <c r="K299" s="34">
        <v>3480</v>
      </c>
      <c r="L299" s="36">
        <f t="shared" si="57"/>
        <v>0.0038017241379310345</v>
      </c>
      <c r="M299" s="35">
        <v>332.56</v>
      </c>
      <c r="N299" s="35">
        <f t="shared" si="58"/>
        <v>1.2643013793103448</v>
      </c>
      <c r="O299" s="35">
        <f t="shared" si="55"/>
        <v>228.10344827586206</v>
      </c>
      <c r="P299" s="35">
        <f t="shared" si="60"/>
        <v>75.85808275862068</v>
      </c>
      <c r="R299" s="10"/>
      <c r="S299" s="10"/>
    </row>
    <row r="300" spans="1:19" s="9" customFormat="1" ht="12.75" customHeight="1">
      <c r="A300" s="181"/>
      <c r="B300" s="123" t="s">
        <v>397</v>
      </c>
      <c r="C300" s="50">
        <v>30</v>
      </c>
      <c r="D300" s="62">
        <v>1979</v>
      </c>
      <c r="E300" s="149">
        <f>F300+G300+H300</f>
        <v>14.143</v>
      </c>
      <c r="F300" s="150">
        <v>2.80704</v>
      </c>
      <c r="G300" s="150">
        <v>4.8</v>
      </c>
      <c r="H300" s="150">
        <v>6.53596</v>
      </c>
      <c r="I300" s="151">
        <v>1717.94</v>
      </c>
      <c r="J300" s="150">
        <v>6.53596</v>
      </c>
      <c r="K300" s="151">
        <v>1717.94</v>
      </c>
      <c r="L300" s="152">
        <f t="shared" si="57"/>
        <v>0.0038045333364378265</v>
      </c>
      <c r="M300" s="61">
        <v>315.01</v>
      </c>
      <c r="N300" s="61">
        <f t="shared" si="58"/>
        <v>1.1984660463112797</v>
      </c>
      <c r="O300" s="61">
        <f t="shared" si="55"/>
        <v>228.2720001862696</v>
      </c>
      <c r="P300" s="61">
        <f t="shared" si="60"/>
        <v>71.90796277867678</v>
      </c>
      <c r="R300" s="10"/>
      <c r="S300" s="10"/>
    </row>
    <row r="301" spans="1:19" s="9" customFormat="1" ht="12.75" customHeight="1">
      <c r="A301" s="181"/>
      <c r="B301" s="117" t="s">
        <v>358</v>
      </c>
      <c r="C301" s="53">
        <v>23</v>
      </c>
      <c r="D301" s="53">
        <v>1997</v>
      </c>
      <c r="E301" s="42">
        <f>F301+G301+H301</f>
        <v>10.9</v>
      </c>
      <c r="F301" s="42">
        <v>2.03</v>
      </c>
      <c r="G301" s="42">
        <v>3.68</v>
      </c>
      <c r="H301" s="42">
        <v>5.19</v>
      </c>
      <c r="I301" s="153">
        <v>1402.29</v>
      </c>
      <c r="J301" s="42">
        <v>5.19</v>
      </c>
      <c r="K301" s="153">
        <v>1352.84</v>
      </c>
      <c r="L301" s="154">
        <f t="shared" si="57"/>
        <v>0.003836373850566217</v>
      </c>
      <c r="M301" s="43">
        <v>320.7</v>
      </c>
      <c r="N301" s="155">
        <f t="shared" si="58"/>
        <v>1.2303250938765857</v>
      </c>
      <c r="O301" s="155">
        <f t="shared" si="55"/>
        <v>230.18243103397302</v>
      </c>
      <c r="P301" s="155">
        <f t="shared" si="60"/>
        <v>73.81950563259514</v>
      </c>
      <c r="R301" s="10"/>
      <c r="S301" s="10"/>
    </row>
    <row r="302" spans="1:19" s="9" customFormat="1" ht="12.75" customHeight="1">
      <c r="A302" s="181"/>
      <c r="B302" s="79" t="s">
        <v>48</v>
      </c>
      <c r="C302" s="34">
        <v>40</v>
      </c>
      <c r="D302" s="34">
        <v>1995</v>
      </c>
      <c r="E302" s="80">
        <v>25.07</v>
      </c>
      <c r="F302" s="80">
        <v>8.165158</v>
      </c>
      <c r="G302" s="80">
        <v>6.4</v>
      </c>
      <c r="H302" s="80">
        <v>10.504842</v>
      </c>
      <c r="I302" s="81">
        <v>2734.01</v>
      </c>
      <c r="J302" s="80">
        <f>H302</f>
        <v>10.504842</v>
      </c>
      <c r="K302" s="81">
        <v>2734.01</v>
      </c>
      <c r="L302" s="36">
        <f t="shared" si="57"/>
        <v>0.0038422836785527484</v>
      </c>
      <c r="M302" s="35">
        <v>307.38</v>
      </c>
      <c r="N302" s="35">
        <f t="shared" si="58"/>
        <v>1.1810411571135437</v>
      </c>
      <c r="O302" s="35">
        <f t="shared" si="55"/>
        <v>230.5370207131649</v>
      </c>
      <c r="P302" s="35">
        <f>N302*60</f>
        <v>70.86246942681262</v>
      </c>
      <c r="R302" s="10"/>
      <c r="S302" s="10"/>
    </row>
    <row r="303" spans="1:19" s="9" customFormat="1" ht="12.75" customHeight="1">
      <c r="A303" s="181"/>
      <c r="B303" s="123" t="s">
        <v>398</v>
      </c>
      <c r="C303" s="50">
        <v>39</v>
      </c>
      <c r="D303" s="62">
        <v>1992</v>
      </c>
      <c r="E303" s="149">
        <f>F303+G303+H303</f>
        <v>18.789998</v>
      </c>
      <c r="F303" s="150">
        <v>3.8760000000000003</v>
      </c>
      <c r="G303" s="150">
        <v>6.4</v>
      </c>
      <c r="H303" s="150">
        <v>8.513998</v>
      </c>
      <c r="I303" s="151">
        <v>2212.35</v>
      </c>
      <c r="J303" s="150">
        <v>8.513998</v>
      </c>
      <c r="K303" s="151">
        <v>2212.35</v>
      </c>
      <c r="L303" s="152">
        <f t="shared" si="57"/>
        <v>0.003848395597441635</v>
      </c>
      <c r="M303" s="61">
        <v>315.01</v>
      </c>
      <c r="N303" s="61">
        <f t="shared" si="58"/>
        <v>1.2122830971500893</v>
      </c>
      <c r="O303" s="61">
        <f t="shared" si="55"/>
        <v>230.90373584649808</v>
      </c>
      <c r="P303" s="61">
        <f>O303*M303/1000</f>
        <v>72.73698582900535</v>
      </c>
      <c r="R303" s="10"/>
      <c r="S303" s="10"/>
    </row>
    <row r="304" spans="1:19" s="9" customFormat="1" ht="12.75" customHeight="1">
      <c r="A304" s="181"/>
      <c r="B304" s="79" t="s">
        <v>792</v>
      </c>
      <c r="C304" s="34">
        <v>20</v>
      </c>
      <c r="D304" s="34">
        <v>1976</v>
      </c>
      <c r="E304" s="80">
        <v>8.69</v>
      </c>
      <c r="F304" s="80">
        <v>1.982</v>
      </c>
      <c r="G304" s="80">
        <v>2.56</v>
      </c>
      <c r="H304" s="80">
        <v>4.147</v>
      </c>
      <c r="I304" s="46" t="s">
        <v>782</v>
      </c>
      <c r="J304" s="80">
        <v>4.147</v>
      </c>
      <c r="K304" s="81">
        <v>1064.72</v>
      </c>
      <c r="L304" s="36">
        <f t="shared" si="57"/>
        <v>0.0038949207303328576</v>
      </c>
      <c r="M304" s="35">
        <v>354.25</v>
      </c>
      <c r="N304" s="35">
        <f t="shared" si="58"/>
        <v>1.3797756687204148</v>
      </c>
      <c r="O304" s="35">
        <f t="shared" si="55"/>
        <v>233.69524381997144</v>
      </c>
      <c r="P304" s="35">
        <f>O304*M304/1000</f>
        <v>82.78654012322488</v>
      </c>
      <c r="R304" s="10"/>
      <c r="S304" s="10"/>
    </row>
    <row r="305" spans="1:19" s="9" customFormat="1" ht="13.5" customHeight="1">
      <c r="A305" s="181"/>
      <c r="B305" s="109" t="s">
        <v>235</v>
      </c>
      <c r="C305" s="110">
        <v>13</v>
      </c>
      <c r="D305" s="34">
        <v>1981</v>
      </c>
      <c r="E305" s="80">
        <f>+F305+G305+H305</f>
        <v>4.633000000000001</v>
      </c>
      <c r="F305" s="111">
        <v>1.2019710000000001</v>
      </c>
      <c r="G305" s="111">
        <v>1.28</v>
      </c>
      <c r="H305" s="111">
        <v>2.1510290000000003</v>
      </c>
      <c r="I305" s="112">
        <v>997.63</v>
      </c>
      <c r="J305" s="111">
        <v>2.1510290000000003</v>
      </c>
      <c r="K305" s="112">
        <v>551.26</v>
      </c>
      <c r="L305" s="36">
        <f>+J305/K305</f>
        <v>0.0039020226390450974</v>
      </c>
      <c r="M305" s="35">
        <v>312.83</v>
      </c>
      <c r="N305" s="35">
        <f>+L305*M305</f>
        <v>1.2206697421724777</v>
      </c>
      <c r="O305" s="35">
        <f>+L305*60*1000</f>
        <v>234.12135834270583</v>
      </c>
      <c r="P305" s="35">
        <f>+N305*60</f>
        <v>73.24018453034866</v>
      </c>
      <c r="R305" s="10"/>
      <c r="S305" s="10"/>
    </row>
    <row r="306" spans="1:19" s="9" customFormat="1" ht="13.5" customHeight="1">
      <c r="A306" s="181"/>
      <c r="B306" s="79" t="s">
        <v>876</v>
      </c>
      <c r="C306" s="34">
        <v>44</v>
      </c>
      <c r="D306" s="34">
        <v>1970</v>
      </c>
      <c r="E306" s="80">
        <f>F306+G306+H306</f>
        <v>19.207998</v>
      </c>
      <c r="F306" s="80">
        <v>3.151552</v>
      </c>
      <c r="G306" s="80">
        <v>7.04</v>
      </c>
      <c r="H306" s="80">
        <v>9.016446</v>
      </c>
      <c r="I306" s="81">
        <v>2310.7</v>
      </c>
      <c r="J306" s="80">
        <f>H306</f>
        <v>9.016446</v>
      </c>
      <c r="K306" s="81">
        <f>I306</f>
        <v>2310.7</v>
      </c>
      <c r="L306" s="36">
        <f aca="true" t="shared" si="61" ref="L306:L318">J306/K306</f>
        <v>0.0039020409399749</v>
      </c>
      <c r="M306" s="35">
        <f>337.7*1.09</f>
        <v>368.093</v>
      </c>
      <c r="N306" s="35">
        <f aca="true" t="shared" si="62" ref="N306:N318">L306*M306</f>
        <v>1.4363139557181808</v>
      </c>
      <c r="O306" s="35">
        <f>L306*60*1000</f>
        <v>234.122456398494</v>
      </c>
      <c r="P306" s="35">
        <f>O306*M306/1000</f>
        <v>86.17883734309085</v>
      </c>
      <c r="Q306" s="11"/>
      <c r="R306" s="10"/>
      <c r="S306" s="10"/>
    </row>
    <row r="307" spans="1:19" s="9" customFormat="1" ht="12.75" customHeight="1">
      <c r="A307" s="181"/>
      <c r="B307" s="79" t="s">
        <v>580</v>
      </c>
      <c r="C307" s="34">
        <v>60</v>
      </c>
      <c r="D307" s="34">
        <v>1968</v>
      </c>
      <c r="E307" s="80">
        <v>24.75</v>
      </c>
      <c r="F307" s="80">
        <v>4.4785</v>
      </c>
      <c r="G307" s="80">
        <v>9.6</v>
      </c>
      <c r="H307" s="80">
        <f>E307-F307-G307</f>
        <v>10.6715</v>
      </c>
      <c r="I307" s="81">
        <v>2731.74</v>
      </c>
      <c r="J307" s="80">
        <v>10.6715</v>
      </c>
      <c r="K307" s="81">
        <v>2731.74</v>
      </c>
      <c r="L307" s="36">
        <f t="shared" si="61"/>
        <v>0.003906484511703164</v>
      </c>
      <c r="M307" s="35">
        <v>243.179</v>
      </c>
      <c r="N307" s="35">
        <f t="shared" si="62"/>
        <v>0.9499749970714638</v>
      </c>
      <c r="O307" s="35">
        <f>L307*1000*60</f>
        <v>234.38907070218985</v>
      </c>
      <c r="P307" s="35">
        <f>N307*60</f>
        <v>56.998499824287826</v>
      </c>
      <c r="R307" s="10"/>
      <c r="S307" s="10"/>
    </row>
    <row r="308" spans="1:19" s="9" customFormat="1" ht="12.75">
      <c r="A308" s="181"/>
      <c r="B308" s="117" t="s">
        <v>359</v>
      </c>
      <c r="C308" s="53">
        <v>34</v>
      </c>
      <c r="D308" s="53">
        <v>1972</v>
      </c>
      <c r="E308" s="42">
        <f aca="true" t="shared" si="63" ref="E308:E313">F308+G308+H308</f>
        <v>15.68</v>
      </c>
      <c r="F308" s="42">
        <v>3.18</v>
      </c>
      <c r="G308" s="42">
        <v>5.44</v>
      </c>
      <c r="H308" s="42">
        <v>7.06</v>
      </c>
      <c r="I308" s="153">
        <v>1864.09</v>
      </c>
      <c r="J308" s="42">
        <v>7.06</v>
      </c>
      <c r="K308" s="153">
        <v>1797.15</v>
      </c>
      <c r="L308" s="154">
        <f t="shared" si="61"/>
        <v>0.0039284422557938955</v>
      </c>
      <c r="M308" s="43">
        <v>320.7</v>
      </c>
      <c r="N308" s="155">
        <f t="shared" si="62"/>
        <v>1.2598514314331022</v>
      </c>
      <c r="O308" s="155">
        <f aca="true" t="shared" si="64" ref="O308:O318">L308*60*1000</f>
        <v>235.70653534763372</v>
      </c>
      <c r="P308" s="155">
        <f aca="true" t="shared" si="65" ref="P308:P318">O308*M308/1000</f>
        <v>75.59108588598613</v>
      </c>
      <c r="R308" s="10"/>
      <c r="S308" s="10"/>
    </row>
    <row r="309" spans="1:19" s="9" customFormat="1" ht="12.75">
      <c r="A309" s="181"/>
      <c r="B309" s="123" t="s">
        <v>399</v>
      </c>
      <c r="C309" s="50">
        <v>9</v>
      </c>
      <c r="D309" s="62">
        <v>1961</v>
      </c>
      <c r="E309" s="149">
        <f t="shared" si="63"/>
        <v>3.474009</v>
      </c>
      <c r="F309" s="150">
        <v>0.4335</v>
      </c>
      <c r="G309" s="150">
        <v>1.44</v>
      </c>
      <c r="H309" s="150">
        <v>1.6005090000000002</v>
      </c>
      <c r="I309" s="151">
        <v>541.96</v>
      </c>
      <c r="J309" s="150">
        <v>1.6005090000000002</v>
      </c>
      <c r="K309" s="151">
        <v>407.14</v>
      </c>
      <c r="L309" s="152">
        <f t="shared" si="61"/>
        <v>0.003931102323525078</v>
      </c>
      <c r="M309" s="61">
        <v>315.01</v>
      </c>
      <c r="N309" s="61">
        <f t="shared" si="62"/>
        <v>1.2383365429336348</v>
      </c>
      <c r="O309" s="61">
        <f t="shared" si="64"/>
        <v>235.86613941150466</v>
      </c>
      <c r="P309" s="61">
        <f t="shared" si="65"/>
        <v>74.30019257601808</v>
      </c>
      <c r="R309" s="10"/>
      <c r="S309" s="10"/>
    </row>
    <row r="310" spans="1:19" s="9" customFormat="1" ht="12.75" customHeight="1">
      <c r="A310" s="181"/>
      <c r="B310" s="117" t="s">
        <v>360</v>
      </c>
      <c r="C310" s="53">
        <v>44</v>
      </c>
      <c r="D310" s="53">
        <v>1988</v>
      </c>
      <c r="E310" s="42">
        <f t="shared" si="63"/>
        <v>20.41</v>
      </c>
      <c r="F310" s="42">
        <v>4.32</v>
      </c>
      <c r="G310" s="42">
        <v>7.04</v>
      </c>
      <c r="H310" s="42">
        <v>9.05</v>
      </c>
      <c r="I310" s="153">
        <v>2297.82</v>
      </c>
      <c r="J310" s="42">
        <v>9.05</v>
      </c>
      <c r="K310" s="153">
        <v>2297.82</v>
      </c>
      <c r="L310" s="154">
        <f t="shared" si="61"/>
        <v>0.00393851563655987</v>
      </c>
      <c r="M310" s="43">
        <v>320.7</v>
      </c>
      <c r="N310" s="155">
        <f t="shared" si="62"/>
        <v>1.2630819646447502</v>
      </c>
      <c r="O310" s="155">
        <f t="shared" si="64"/>
        <v>236.3109381935922</v>
      </c>
      <c r="P310" s="155">
        <f t="shared" si="65"/>
        <v>75.78491787868501</v>
      </c>
      <c r="R310" s="10"/>
      <c r="S310" s="10"/>
    </row>
    <row r="311" spans="1:19" s="9" customFormat="1" ht="12.75">
      <c r="A311" s="181"/>
      <c r="B311" s="79" t="s">
        <v>877</v>
      </c>
      <c r="C311" s="34">
        <v>22</v>
      </c>
      <c r="D311" s="34">
        <v>1985</v>
      </c>
      <c r="E311" s="80">
        <f t="shared" si="63"/>
        <v>10.583003</v>
      </c>
      <c r="F311" s="80">
        <v>2.412381</v>
      </c>
      <c r="G311" s="80">
        <v>3.74</v>
      </c>
      <c r="H311" s="80">
        <v>4.430622</v>
      </c>
      <c r="I311" s="81">
        <v>1124.8</v>
      </c>
      <c r="J311" s="80">
        <f>H311</f>
        <v>4.430622</v>
      </c>
      <c r="K311" s="81">
        <f>I311</f>
        <v>1124.8</v>
      </c>
      <c r="L311" s="36">
        <f t="shared" si="61"/>
        <v>0.00393903093883357</v>
      </c>
      <c r="M311" s="35">
        <f>337.7*1.09</f>
        <v>368.093</v>
      </c>
      <c r="N311" s="35">
        <f t="shared" si="62"/>
        <v>1.4499297153680655</v>
      </c>
      <c r="O311" s="35">
        <f t="shared" si="64"/>
        <v>236.34185633001422</v>
      </c>
      <c r="P311" s="35">
        <f t="shared" si="65"/>
        <v>86.99578292208393</v>
      </c>
      <c r="R311" s="10"/>
      <c r="S311" s="10"/>
    </row>
    <row r="312" spans="1:19" s="9" customFormat="1" ht="12.75">
      <c r="A312" s="181"/>
      <c r="B312" s="117" t="s">
        <v>361</v>
      </c>
      <c r="C312" s="53">
        <v>45</v>
      </c>
      <c r="D312" s="53">
        <v>1987</v>
      </c>
      <c r="E312" s="42">
        <f t="shared" si="63"/>
        <v>20.3</v>
      </c>
      <c r="F312" s="42">
        <v>3.86</v>
      </c>
      <c r="G312" s="42">
        <v>7.2</v>
      </c>
      <c r="H312" s="42">
        <v>9.24</v>
      </c>
      <c r="I312" s="153">
        <v>2339.68</v>
      </c>
      <c r="J312" s="42">
        <v>9.24</v>
      </c>
      <c r="K312" s="153">
        <v>2339.68</v>
      </c>
      <c r="L312" s="154">
        <f t="shared" si="61"/>
        <v>0.003949258018190522</v>
      </c>
      <c r="M312" s="43">
        <v>320.7</v>
      </c>
      <c r="N312" s="155">
        <f t="shared" si="62"/>
        <v>1.2665270464337002</v>
      </c>
      <c r="O312" s="155">
        <f t="shared" si="64"/>
        <v>236.9554810914313</v>
      </c>
      <c r="P312" s="155">
        <f t="shared" si="65"/>
        <v>75.991622786022</v>
      </c>
      <c r="R312" s="10"/>
      <c r="S312" s="10"/>
    </row>
    <row r="313" spans="1:19" s="9" customFormat="1" ht="12.75">
      <c r="A313" s="181"/>
      <c r="B313" s="123" t="s">
        <v>400</v>
      </c>
      <c r="C313" s="50">
        <v>49</v>
      </c>
      <c r="D313" s="62">
        <v>1984</v>
      </c>
      <c r="E313" s="149">
        <f t="shared" si="63"/>
        <v>22.718471</v>
      </c>
      <c r="F313" s="150">
        <v>4.86744</v>
      </c>
      <c r="G313" s="150">
        <v>7.84</v>
      </c>
      <c r="H313" s="150">
        <v>10.011031000000001</v>
      </c>
      <c r="I313" s="151">
        <v>2586</v>
      </c>
      <c r="J313" s="150">
        <v>10.011031000000001</v>
      </c>
      <c r="K313" s="151">
        <v>2521.39</v>
      </c>
      <c r="L313" s="152">
        <f t="shared" si="61"/>
        <v>0.003970441304201254</v>
      </c>
      <c r="M313" s="61">
        <v>315.01</v>
      </c>
      <c r="N313" s="61">
        <f t="shared" si="62"/>
        <v>1.250728715236437</v>
      </c>
      <c r="O313" s="61">
        <f t="shared" si="64"/>
        <v>238.22647825207528</v>
      </c>
      <c r="P313" s="61">
        <f t="shared" si="65"/>
        <v>75.04372291418623</v>
      </c>
      <c r="R313" s="10"/>
      <c r="S313" s="10"/>
    </row>
    <row r="314" spans="1:19" s="9" customFormat="1" ht="12.75">
      <c r="A314" s="181"/>
      <c r="B314" s="79" t="s">
        <v>129</v>
      </c>
      <c r="C314" s="34">
        <v>104</v>
      </c>
      <c r="D314" s="34">
        <v>1971</v>
      </c>
      <c r="E314" s="80">
        <v>48.402</v>
      </c>
      <c r="F314" s="80">
        <v>17.692</v>
      </c>
      <c r="G314" s="80">
        <v>10</v>
      </c>
      <c r="H314" s="80">
        <f>E314-F314-G314</f>
        <v>20.71</v>
      </c>
      <c r="I314" s="81">
        <v>5182.17</v>
      </c>
      <c r="J314" s="80">
        <f>H314</f>
        <v>20.71</v>
      </c>
      <c r="K314" s="81">
        <f>I314</f>
        <v>5182.17</v>
      </c>
      <c r="L314" s="36">
        <f t="shared" si="61"/>
        <v>0.0039963953324572525</v>
      </c>
      <c r="M314" s="35">
        <v>288.2</v>
      </c>
      <c r="N314" s="35">
        <f t="shared" si="62"/>
        <v>1.15176113481418</v>
      </c>
      <c r="O314" s="35">
        <f t="shared" si="64"/>
        <v>239.78371994743515</v>
      </c>
      <c r="P314" s="35">
        <f t="shared" si="65"/>
        <v>69.10566808885082</v>
      </c>
      <c r="R314" s="10"/>
      <c r="S314" s="10"/>
    </row>
    <row r="315" spans="1:19" s="9" customFormat="1" ht="12.75">
      <c r="A315" s="181"/>
      <c r="B315" s="79" t="s">
        <v>878</v>
      </c>
      <c r="C315" s="34">
        <v>22</v>
      </c>
      <c r="D315" s="34">
        <v>1987</v>
      </c>
      <c r="E315" s="80">
        <f>F315+G315+H315</f>
        <v>9.726002</v>
      </c>
      <c r="F315" s="80">
        <v>1.984013</v>
      </c>
      <c r="G315" s="80">
        <v>3.4</v>
      </c>
      <c r="H315" s="80">
        <v>4.341989</v>
      </c>
      <c r="I315" s="81">
        <v>1082.63</v>
      </c>
      <c r="J315" s="80">
        <f>H315</f>
        <v>4.341989</v>
      </c>
      <c r="K315" s="81">
        <f>I315</f>
        <v>1082.63</v>
      </c>
      <c r="L315" s="36">
        <f t="shared" si="61"/>
        <v>0.004010593646952328</v>
      </c>
      <c r="M315" s="35">
        <f>337.7*1.09</f>
        <v>368.093</v>
      </c>
      <c r="N315" s="35">
        <f t="shared" si="62"/>
        <v>1.4762714472876235</v>
      </c>
      <c r="O315" s="35">
        <f t="shared" si="64"/>
        <v>240.6356188171397</v>
      </c>
      <c r="P315" s="35">
        <f t="shared" si="65"/>
        <v>88.5762868372574</v>
      </c>
      <c r="R315" s="10"/>
      <c r="S315" s="10"/>
    </row>
    <row r="316" spans="1:19" s="9" customFormat="1" ht="12.75">
      <c r="A316" s="181"/>
      <c r="B316" s="123" t="s">
        <v>401</v>
      </c>
      <c r="C316" s="50">
        <v>48</v>
      </c>
      <c r="D316" s="62">
        <v>1970</v>
      </c>
      <c r="E316" s="149">
        <f>F316+G316+H316</f>
        <v>21.966141</v>
      </c>
      <c r="F316" s="150">
        <v>4.38855</v>
      </c>
      <c r="G316" s="150">
        <v>7.68</v>
      </c>
      <c r="H316" s="150">
        <v>9.897591</v>
      </c>
      <c r="I316" s="151">
        <v>2597.12</v>
      </c>
      <c r="J316" s="150">
        <v>9.897591</v>
      </c>
      <c r="K316" s="151">
        <v>2461.48</v>
      </c>
      <c r="L316" s="152">
        <f t="shared" si="61"/>
        <v>0.004020991842306255</v>
      </c>
      <c r="M316" s="61">
        <v>315.01</v>
      </c>
      <c r="N316" s="61">
        <f t="shared" si="62"/>
        <v>1.2666526402448934</v>
      </c>
      <c r="O316" s="61">
        <f t="shared" si="64"/>
        <v>241.2595105383753</v>
      </c>
      <c r="P316" s="61">
        <f t="shared" si="65"/>
        <v>75.99915841469361</v>
      </c>
      <c r="Q316" s="11"/>
      <c r="R316" s="10"/>
      <c r="S316" s="10"/>
    </row>
    <row r="317" spans="1:19" s="9" customFormat="1" ht="12.75" customHeight="1">
      <c r="A317" s="181"/>
      <c r="B317" s="79" t="s">
        <v>429</v>
      </c>
      <c r="C317" s="34">
        <v>32</v>
      </c>
      <c r="D317" s="34">
        <v>1974</v>
      </c>
      <c r="E317" s="80">
        <f>SUM(F317:H317)</f>
        <v>15.603</v>
      </c>
      <c r="F317" s="80">
        <v>3.247035</v>
      </c>
      <c r="G317" s="80">
        <v>4.96</v>
      </c>
      <c r="H317" s="80">
        <v>7.395965</v>
      </c>
      <c r="I317" s="81">
        <v>1820.68</v>
      </c>
      <c r="J317" s="80">
        <v>7.395965</v>
      </c>
      <c r="K317" s="81">
        <v>1820.68</v>
      </c>
      <c r="L317" s="36">
        <f t="shared" si="61"/>
        <v>0.004062199288178044</v>
      </c>
      <c r="M317" s="35">
        <v>316.536</v>
      </c>
      <c r="N317" s="35">
        <f t="shared" si="62"/>
        <v>1.2858323138827252</v>
      </c>
      <c r="O317" s="35">
        <f t="shared" si="64"/>
        <v>243.73195729068263</v>
      </c>
      <c r="P317" s="35">
        <f t="shared" si="65"/>
        <v>77.14993883296351</v>
      </c>
      <c r="R317" s="10"/>
      <c r="S317" s="10"/>
    </row>
    <row r="318" spans="1:19" s="9" customFormat="1" ht="12.75">
      <c r="A318" s="181"/>
      <c r="B318" s="79" t="s">
        <v>430</v>
      </c>
      <c r="C318" s="34">
        <v>13</v>
      </c>
      <c r="D318" s="34">
        <v>1980</v>
      </c>
      <c r="E318" s="80">
        <f>SUM(F318:H318)</f>
        <v>5.696</v>
      </c>
      <c r="F318" s="80">
        <v>0.91239</v>
      </c>
      <c r="G318" s="80">
        <v>1.92</v>
      </c>
      <c r="H318" s="80">
        <v>2.86361</v>
      </c>
      <c r="I318" s="81">
        <v>703.82</v>
      </c>
      <c r="J318" s="80">
        <v>2.86361</v>
      </c>
      <c r="K318" s="81">
        <v>703.82</v>
      </c>
      <c r="L318" s="36">
        <f t="shared" si="61"/>
        <v>0.004068668125372965</v>
      </c>
      <c r="M318" s="35">
        <v>316.536</v>
      </c>
      <c r="N318" s="35">
        <f t="shared" si="62"/>
        <v>1.2878799337330569</v>
      </c>
      <c r="O318" s="35">
        <f t="shared" si="64"/>
        <v>244.12008752237787</v>
      </c>
      <c r="P318" s="35">
        <f t="shared" si="65"/>
        <v>77.2727960239834</v>
      </c>
      <c r="R318" s="10"/>
      <c r="S318" s="10"/>
    </row>
    <row r="319" spans="1:19" s="9" customFormat="1" ht="12.75">
      <c r="A319" s="181"/>
      <c r="B319" s="109" t="s">
        <v>236</v>
      </c>
      <c r="C319" s="110">
        <v>23</v>
      </c>
      <c r="D319" s="34">
        <v>1924</v>
      </c>
      <c r="E319" s="80">
        <f>+F319+G319+H319</f>
        <v>10.381999</v>
      </c>
      <c r="F319" s="111">
        <v>1.93176</v>
      </c>
      <c r="G319" s="111">
        <v>3.52</v>
      </c>
      <c r="H319" s="111">
        <v>4.930239</v>
      </c>
      <c r="I319" s="112">
        <v>1210.44</v>
      </c>
      <c r="J319" s="111">
        <v>4.930239</v>
      </c>
      <c r="K319" s="112">
        <v>1210.44</v>
      </c>
      <c r="L319" s="36">
        <f>+J319/K319</f>
        <v>0.004073096559928621</v>
      </c>
      <c r="M319" s="35">
        <v>312.83</v>
      </c>
      <c r="N319" s="35">
        <f>+L319*M319</f>
        <v>1.2741867968424705</v>
      </c>
      <c r="O319" s="35">
        <f>+L319*60*1000</f>
        <v>244.38579359571725</v>
      </c>
      <c r="P319" s="35">
        <f>+N319*60</f>
        <v>76.45120781054823</v>
      </c>
      <c r="R319" s="10"/>
      <c r="S319" s="10"/>
    </row>
    <row r="320" spans="1:19" s="9" customFormat="1" ht="12.75">
      <c r="A320" s="181"/>
      <c r="B320" s="79" t="s">
        <v>793</v>
      </c>
      <c r="C320" s="34">
        <v>22</v>
      </c>
      <c r="D320" s="34">
        <v>1981</v>
      </c>
      <c r="E320" s="80">
        <v>10.48</v>
      </c>
      <c r="F320" s="80">
        <v>2.095</v>
      </c>
      <c r="G320" s="80">
        <v>3.52</v>
      </c>
      <c r="H320" s="80">
        <v>4.864</v>
      </c>
      <c r="I320" s="46" t="s">
        <v>782</v>
      </c>
      <c r="J320" s="80">
        <v>4.864</v>
      </c>
      <c r="K320" s="81">
        <v>1177.79</v>
      </c>
      <c r="L320" s="36">
        <f>J320/K320</f>
        <v>0.004129768464666876</v>
      </c>
      <c r="M320" s="35">
        <v>354.25</v>
      </c>
      <c r="N320" s="35">
        <f>L320*M320</f>
        <v>1.462970478608241</v>
      </c>
      <c r="O320" s="35">
        <f>L320*60*1000</f>
        <v>247.78610788001257</v>
      </c>
      <c r="P320" s="35">
        <f>O320*M320/1000</f>
        <v>87.77822871649445</v>
      </c>
      <c r="R320" s="10"/>
      <c r="S320" s="10"/>
    </row>
    <row r="321" spans="1:19" s="9" customFormat="1" ht="12.75">
      <c r="A321" s="181"/>
      <c r="B321" s="79" t="s">
        <v>626</v>
      </c>
      <c r="C321" s="34">
        <v>22</v>
      </c>
      <c r="D321" s="34" t="s">
        <v>31</v>
      </c>
      <c r="E321" s="42">
        <f>SUM(F321:H321)</f>
        <v>5.9</v>
      </c>
      <c r="F321" s="42">
        <v>0.4</v>
      </c>
      <c r="G321" s="42">
        <v>2.4</v>
      </c>
      <c r="H321" s="42">
        <v>3.1</v>
      </c>
      <c r="I321" s="81">
        <v>892</v>
      </c>
      <c r="J321" s="42">
        <v>2.6</v>
      </c>
      <c r="K321" s="81">
        <v>626.12</v>
      </c>
      <c r="L321" s="154">
        <f>J321/K321</f>
        <v>0.004152558614961988</v>
      </c>
      <c r="M321" s="43">
        <v>209.8</v>
      </c>
      <c r="N321" s="155">
        <f>L321*M321</f>
        <v>0.8712067974190252</v>
      </c>
      <c r="O321" s="155">
        <f>L321*60*1000</f>
        <v>249.1535168977193</v>
      </c>
      <c r="P321" s="155">
        <f>O321*M321/1000</f>
        <v>52.27240784514151</v>
      </c>
      <c r="R321" s="10"/>
      <c r="S321" s="10"/>
    </row>
    <row r="322" spans="1:19" s="9" customFormat="1" ht="12.75" customHeight="1">
      <c r="A322" s="181"/>
      <c r="B322" s="79" t="s">
        <v>130</v>
      </c>
      <c r="C322" s="34">
        <v>70</v>
      </c>
      <c r="D322" s="34">
        <v>1965</v>
      </c>
      <c r="E322" s="80">
        <v>23.58</v>
      </c>
      <c r="F322" s="80">
        <v>9.98259</v>
      </c>
      <c r="G322" s="80">
        <v>0.7</v>
      </c>
      <c r="H322" s="80">
        <f>E322-F322-G322</f>
        <v>12.897409999999999</v>
      </c>
      <c r="I322" s="81">
        <v>3041.95</v>
      </c>
      <c r="J322" s="80">
        <f>H322</f>
        <v>12.897409999999999</v>
      </c>
      <c r="K322" s="81">
        <f>I322</f>
        <v>3041.95</v>
      </c>
      <c r="L322" s="36">
        <f>J322/K322</f>
        <v>0.004239849438682424</v>
      </c>
      <c r="M322" s="35">
        <v>288.2</v>
      </c>
      <c r="N322" s="35">
        <f>L322*M322</f>
        <v>1.2219246082282746</v>
      </c>
      <c r="O322" s="35">
        <f>L322*60*1000</f>
        <v>254.39096632094544</v>
      </c>
      <c r="P322" s="35">
        <f>O322*M322/1000</f>
        <v>73.31547649369648</v>
      </c>
      <c r="R322" s="10"/>
      <c r="S322" s="10"/>
    </row>
    <row r="323" spans="1:19" s="9" customFormat="1" ht="12.75">
      <c r="A323" s="181"/>
      <c r="B323" s="109" t="s">
        <v>237</v>
      </c>
      <c r="C323" s="110">
        <v>45</v>
      </c>
      <c r="D323" s="34">
        <v>1960</v>
      </c>
      <c r="E323" s="80">
        <f>+F323+G323+H323</f>
        <v>19.564898</v>
      </c>
      <c r="F323" s="111">
        <v>4.05133</v>
      </c>
      <c r="G323" s="111">
        <v>7.04</v>
      </c>
      <c r="H323" s="111">
        <v>8.473568</v>
      </c>
      <c r="I323" s="112">
        <v>2517.34</v>
      </c>
      <c r="J323" s="111">
        <v>8.473568</v>
      </c>
      <c r="K323" s="112">
        <v>1997.52</v>
      </c>
      <c r="L323" s="36">
        <f>+J323/K323</f>
        <v>0.0042420441347270615</v>
      </c>
      <c r="M323" s="35">
        <v>312.83</v>
      </c>
      <c r="N323" s="35">
        <f>+L323*M323</f>
        <v>1.3270386666666665</v>
      </c>
      <c r="O323" s="35">
        <f>+L323*60*1000</f>
        <v>254.5226480836237</v>
      </c>
      <c r="P323" s="35">
        <f>+N323*60</f>
        <v>79.62231999999999</v>
      </c>
      <c r="R323" s="10"/>
      <c r="S323" s="10"/>
    </row>
    <row r="324" spans="1:19" s="9" customFormat="1" ht="12.75">
      <c r="A324" s="181"/>
      <c r="B324" s="130" t="s">
        <v>167</v>
      </c>
      <c r="C324" s="108">
        <v>47</v>
      </c>
      <c r="D324" s="34" t="s">
        <v>31</v>
      </c>
      <c r="E324" s="107">
        <v>18.78</v>
      </c>
      <c r="F324" s="107">
        <v>2.96</v>
      </c>
      <c r="G324" s="107">
        <v>7.52</v>
      </c>
      <c r="H324" s="107">
        <v>8.3</v>
      </c>
      <c r="I324" s="108" t="s">
        <v>152</v>
      </c>
      <c r="J324" s="107">
        <v>8.22</v>
      </c>
      <c r="K324" s="108">
        <v>1926.39</v>
      </c>
      <c r="L324" s="36">
        <f aca="true" t="shared" si="66" ref="L324:L331">J324/K324</f>
        <v>0.004267048728450625</v>
      </c>
      <c r="M324" s="35">
        <v>256</v>
      </c>
      <c r="N324" s="35">
        <f aca="true" t="shared" si="67" ref="N324:N331">L324*M324</f>
        <v>1.09236447448336</v>
      </c>
      <c r="O324" s="35">
        <f aca="true" t="shared" si="68" ref="O324:O331">L324*60*1000</f>
        <v>256.0229237070375</v>
      </c>
      <c r="P324" s="35">
        <f aca="true" t="shared" si="69" ref="P324:P331">O324*M324/1000</f>
        <v>65.5418684690016</v>
      </c>
      <c r="R324" s="10"/>
      <c r="S324" s="10"/>
    </row>
    <row r="325" spans="1:19" s="9" customFormat="1" ht="12.75">
      <c r="A325" s="181"/>
      <c r="B325" s="79" t="s">
        <v>794</v>
      </c>
      <c r="C325" s="34">
        <v>12</v>
      </c>
      <c r="D325" s="34">
        <v>1963</v>
      </c>
      <c r="E325" s="80">
        <v>5.423</v>
      </c>
      <c r="F325" s="80">
        <v>1.387</v>
      </c>
      <c r="G325" s="80">
        <v>1.92</v>
      </c>
      <c r="H325" s="80">
        <v>2.115</v>
      </c>
      <c r="I325" s="46" t="s">
        <v>790</v>
      </c>
      <c r="J325" s="80">
        <v>2.115</v>
      </c>
      <c r="K325" s="81">
        <v>495.63</v>
      </c>
      <c r="L325" s="36">
        <f t="shared" si="66"/>
        <v>0.004267296168512802</v>
      </c>
      <c r="M325" s="35">
        <v>354.25</v>
      </c>
      <c r="N325" s="35">
        <f t="shared" si="67"/>
        <v>1.5116896676956602</v>
      </c>
      <c r="O325" s="35">
        <f t="shared" si="68"/>
        <v>256.0377701107681</v>
      </c>
      <c r="P325" s="35">
        <f t="shared" si="69"/>
        <v>90.7013800617396</v>
      </c>
      <c r="R325" s="10"/>
      <c r="S325" s="10"/>
    </row>
    <row r="326" spans="1:19" s="9" customFormat="1" ht="12.75" customHeight="1">
      <c r="A326" s="181"/>
      <c r="B326" s="79" t="s">
        <v>726</v>
      </c>
      <c r="C326" s="34">
        <v>40</v>
      </c>
      <c r="D326" s="34">
        <v>1990</v>
      </c>
      <c r="E326" s="80">
        <v>21.529</v>
      </c>
      <c r="F326" s="80">
        <v>5.375</v>
      </c>
      <c r="G326" s="80">
        <v>6.4</v>
      </c>
      <c r="H326" s="80">
        <v>9.754</v>
      </c>
      <c r="I326" s="81">
        <v>2277.29</v>
      </c>
      <c r="J326" s="80">
        <v>9.754</v>
      </c>
      <c r="K326" s="81">
        <v>2277.3</v>
      </c>
      <c r="L326" s="36">
        <f t="shared" si="66"/>
        <v>0.004283142317656874</v>
      </c>
      <c r="M326" s="35">
        <v>194.3</v>
      </c>
      <c r="N326" s="35">
        <f t="shared" si="67"/>
        <v>0.8322145523207307</v>
      </c>
      <c r="O326" s="35">
        <f t="shared" si="68"/>
        <v>256.98853905941246</v>
      </c>
      <c r="P326" s="35">
        <f t="shared" si="69"/>
        <v>49.932873139243846</v>
      </c>
      <c r="R326" s="10"/>
      <c r="S326" s="10"/>
    </row>
    <row r="327" spans="1:19" s="9" customFormat="1" ht="12.75">
      <c r="A327" s="181"/>
      <c r="B327" s="79" t="s">
        <v>431</v>
      </c>
      <c r="C327" s="34">
        <v>5</v>
      </c>
      <c r="D327" s="34">
        <v>1825</v>
      </c>
      <c r="E327" s="80">
        <f>SUM(F327:H327)</f>
        <v>0.993</v>
      </c>
      <c r="F327" s="80"/>
      <c r="G327" s="80"/>
      <c r="H327" s="80">
        <v>0.993</v>
      </c>
      <c r="I327" s="81">
        <v>230.53</v>
      </c>
      <c r="J327" s="80">
        <v>0.993</v>
      </c>
      <c r="K327" s="81">
        <v>230.53</v>
      </c>
      <c r="L327" s="36">
        <f t="shared" si="66"/>
        <v>0.004307465405804017</v>
      </c>
      <c r="M327" s="35">
        <v>316.536</v>
      </c>
      <c r="N327" s="35">
        <f t="shared" si="67"/>
        <v>1.3634678696915803</v>
      </c>
      <c r="O327" s="35">
        <f t="shared" si="68"/>
        <v>258.44792434824103</v>
      </c>
      <c r="P327" s="35">
        <f t="shared" si="69"/>
        <v>81.80807218149482</v>
      </c>
      <c r="R327" s="10"/>
      <c r="S327" s="10"/>
    </row>
    <row r="328" spans="1:19" s="9" customFormat="1" ht="12.75">
      <c r="A328" s="181"/>
      <c r="B328" s="79" t="s">
        <v>92</v>
      </c>
      <c r="C328" s="34">
        <v>47</v>
      </c>
      <c r="D328" s="34">
        <v>1981</v>
      </c>
      <c r="E328" s="80">
        <v>32.32</v>
      </c>
      <c r="F328" s="80">
        <v>8.11</v>
      </c>
      <c r="G328" s="80">
        <v>11.36</v>
      </c>
      <c r="H328" s="80">
        <f>E328-F328-G328</f>
        <v>12.850000000000001</v>
      </c>
      <c r="I328" s="81">
        <v>2980.6</v>
      </c>
      <c r="J328" s="80">
        <f>H328/I328*K328</f>
        <v>12.304200496544322</v>
      </c>
      <c r="K328" s="34">
        <v>2854</v>
      </c>
      <c r="L328" s="36">
        <f t="shared" si="66"/>
        <v>0.004311212507548816</v>
      </c>
      <c r="M328" s="35">
        <v>332.56</v>
      </c>
      <c r="N328" s="35">
        <f t="shared" si="67"/>
        <v>1.4337368315104344</v>
      </c>
      <c r="O328" s="35">
        <f t="shared" si="68"/>
        <v>258.672750452929</v>
      </c>
      <c r="P328" s="35">
        <f t="shared" si="69"/>
        <v>86.02420989062607</v>
      </c>
      <c r="R328" s="10"/>
      <c r="S328" s="10"/>
    </row>
    <row r="329" spans="1:19" s="9" customFormat="1" ht="12.75" customHeight="1">
      <c r="A329" s="181"/>
      <c r="B329" s="79" t="s">
        <v>629</v>
      </c>
      <c r="C329" s="34">
        <v>22</v>
      </c>
      <c r="D329" s="34" t="s">
        <v>31</v>
      </c>
      <c r="E329" s="80">
        <f>SUM(F329:H329)</f>
        <v>5.199999999999999</v>
      </c>
      <c r="F329" s="80">
        <v>0.9</v>
      </c>
      <c r="G329" s="80">
        <v>0.2</v>
      </c>
      <c r="H329" s="80">
        <v>4.1</v>
      </c>
      <c r="I329" s="81">
        <v>896.35</v>
      </c>
      <c r="J329" s="80">
        <v>2.9</v>
      </c>
      <c r="K329" s="81">
        <v>669.04</v>
      </c>
      <c r="L329" s="154">
        <f t="shared" si="66"/>
        <v>0.00433456893459285</v>
      </c>
      <c r="M329" s="43">
        <v>209.8</v>
      </c>
      <c r="N329" s="155">
        <f t="shared" si="67"/>
        <v>0.9093925624775799</v>
      </c>
      <c r="O329" s="155">
        <f t="shared" si="68"/>
        <v>260.074136075571</v>
      </c>
      <c r="P329" s="155">
        <f t="shared" si="69"/>
        <v>54.5635537486548</v>
      </c>
      <c r="R329" s="10"/>
      <c r="S329" s="10"/>
    </row>
    <row r="330" spans="1:19" s="9" customFormat="1" ht="12.75" customHeight="1">
      <c r="A330" s="181"/>
      <c r="B330" s="79" t="s">
        <v>432</v>
      </c>
      <c r="C330" s="34">
        <v>36</v>
      </c>
      <c r="D330" s="34">
        <v>1984</v>
      </c>
      <c r="E330" s="80">
        <f>SUM(F330:H330)</f>
        <v>18.6</v>
      </c>
      <c r="F330" s="80">
        <v>3.633674</v>
      </c>
      <c r="G330" s="80">
        <v>5.76</v>
      </c>
      <c r="H330" s="80">
        <v>9.206326</v>
      </c>
      <c r="I330" s="81">
        <v>2108.99</v>
      </c>
      <c r="J330" s="80">
        <v>9.206326</v>
      </c>
      <c r="K330" s="81">
        <v>2108.99</v>
      </c>
      <c r="L330" s="36">
        <f t="shared" si="66"/>
        <v>0.004365277218004828</v>
      </c>
      <c r="M330" s="35">
        <v>316.536</v>
      </c>
      <c r="N330" s="35">
        <f t="shared" si="67"/>
        <v>1.3817673894783762</v>
      </c>
      <c r="O330" s="35">
        <f t="shared" si="68"/>
        <v>261.91663308028967</v>
      </c>
      <c r="P330" s="35">
        <f t="shared" si="69"/>
        <v>82.90604336870257</v>
      </c>
      <c r="R330" s="10"/>
      <c r="S330" s="10"/>
    </row>
    <row r="331" spans="1:19" s="9" customFormat="1" ht="12.75">
      <c r="A331" s="181"/>
      <c r="B331" s="79" t="s">
        <v>879</v>
      </c>
      <c r="C331" s="34">
        <v>44</v>
      </c>
      <c r="D331" s="34">
        <v>1966</v>
      </c>
      <c r="E331" s="80">
        <f>F331+G331+H331</f>
        <v>17.764998</v>
      </c>
      <c r="F331" s="80">
        <v>2.572345</v>
      </c>
      <c r="G331" s="80">
        <v>7.04</v>
      </c>
      <c r="H331" s="80">
        <v>8.152653</v>
      </c>
      <c r="I331" s="81">
        <v>1849.2</v>
      </c>
      <c r="J331" s="80">
        <f>H331</f>
        <v>8.152653</v>
      </c>
      <c r="K331" s="81">
        <f>I331</f>
        <v>1849.2</v>
      </c>
      <c r="L331" s="36">
        <f t="shared" si="66"/>
        <v>0.004408745944192083</v>
      </c>
      <c r="M331" s="35">
        <f>337.7*1.09</f>
        <v>368.093</v>
      </c>
      <c r="N331" s="35">
        <f t="shared" si="67"/>
        <v>1.6228285208354967</v>
      </c>
      <c r="O331" s="35">
        <f t="shared" si="68"/>
        <v>264.524756651525</v>
      </c>
      <c r="P331" s="35">
        <f t="shared" si="69"/>
        <v>97.36971125012981</v>
      </c>
      <c r="R331" s="10"/>
      <c r="S331" s="10"/>
    </row>
    <row r="332" spans="1:19" s="9" customFormat="1" ht="12.75">
      <c r="A332" s="181"/>
      <c r="B332" s="109" t="s">
        <v>238</v>
      </c>
      <c r="C332" s="110">
        <v>20</v>
      </c>
      <c r="D332" s="34">
        <v>1985</v>
      </c>
      <c r="E332" s="80">
        <f>+F332+G332+H332</f>
        <v>10.754002</v>
      </c>
      <c r="F332" s="107">
        <v>2.720559</v>
      </c>
      <c r="G332" s="107">
        <v>3.2</v>
      </c>
      <c r="H332" s="107">
        <v>4.833443</v>
      </c>
      <c r="I332" s="112">
        <v>1094.49</v>
      </c>
      <c r="J332" s="107">
        <v>4.833443</v>
      </c>
      <c r="K332" s="112">
        <v>1094.49</v>
      </c>
      <c r="L332" s="36">
        <f>+J332/K332</f>
        <v>0.00441616003800857</v>
      </c>
      <c r="M332" s="35">
        <v>312.83</v>
      </c>
      <c r="N332" s="35">
        <f>+L332*M332</f>
        <v>1.3815073446902209</v>
      </c>
      <c r="O332" s="35">
        <f>+L332*60*1000</f>
        <v>264.9696022805142</v>
      </c>
      <c r="P332" s="35">
        <f>+N332*60</f>
        <v>82.89044068141325</v>
      </c>
      <c r="R332" s="10"/>
      <c r="S332" s="10"/>
    </row>
    <row r="333" spans="1:19" s="9" customFormat="1" ht="11.25" customHeight="1">
      <c r="A333" s="181"/>
      <c r="B333" s="117" t="s">
        <v>259</v>
      </c>
      <c r="C333" s="53">
        <v>19</v>
      </c>
      <c r="D333" s="53">
        <v>1984</v>
      </c>
      <c r="E333" s="80">
        <v>9.039</v>
      </c>
      <c r="F333" s="80">
        <v>1.53</v>
      </c>
      <c r="G333" s="80">
        <v>3.04</v>
      </c>
      <c r="H333" s="80">
        <v>4.469</v>
      </c>
      <c r="I333" s="81">
        <v>1053.81</v>
      </c>
      <c r="J333" s="80">
        <v>4.42</v>
      </c>
      <c r="K333" s="81">
        <v>994.89</v>
      </c>
      <c r="L333" s="36">
        <f aca="true" t="shared" si="70" ref="L333:L350">J333/K333</f>
        <v>0.004442702208284333</v>
      </c>
      <c r="M333" s="35">
        <v>343.459</v>
      </c>
      <c r="N333" s="35">
        <f aca="true" t="shared" si="71" ref="N333:N350">L333*M333</f>
        <v>1.5258860577551288</v>
      </c>
      <c r="O333" s="35">
        <f aca="true" t="shared" si="72" ref="O333:O350">L333*60*1000</f>
        <v>266.56213249706</v>
      </c>
      <c r="P333" s="35">
        <f aca="true" t="shared" si="73" ref="P333:P342">O333*M333/1000</f>
        <v>91.55316346530773</v>
      </c>
      <c r="R333" s="10"/>
      <c r="S333" s="10"/>
    </row>
    <row r="334" spans="1:19" s="9" customFormat="1" ht="12.75" customHeight="1">
      <c r="A334" s="181"/>
      <c r="B334" s="79" t="s">
        <v>627</v>
      </c>
      <c r="C334" s="34">
        <v>18</v>
      </c>
      <c r="D334" s="34" t="s">
        <v>31</v>
      </c>
      <c r="E334" s="42">
        <f>F334+G334+H334</f>
        <v>4.5</v>
      </c>
      <c r="F334" s="42">
        <v>0</v>
      </c>
      <c r="G334" s="42">
        <v>0</v>
      </c>
      <c r="H334" s="42">
        <v>4.5</v>
      </c>
      <c r="I334" s="81">
        <v>651.37</v>
      </c>
      <c r="J334" s="42">
        <v>2.9</v>
      </c>
      <c r="K334" s="81">
        <v>651.37</v>
      </c>
      <c r="L334" s="154">
        <f t="shared" si="70"/>
        <v>0.004452154689347068</v>
      </c>
      <c r="M334" s="43">
        <v>209.8</v>
      </c>
      <c r="N334" s="155">
        <f t="shared" si="71"/>
        <v>0.934062053825015</v>
      </c>
      <c r="O334" s="155">
        <f t="shared" si="72"/>
        <v>267.1292813608241</v>
      </c>
      <c r="P334" s="155">
        <f t="shared" si="73"/>
        <v>56.0437232295009</v>
      </c>
      <c r="Q334" s="11"/>
      <c r="R334" s="10"/>
      <c r="S334" s="10"/>
    </row>
    <row r="335" spans="1:19" s="9" customFormat="1" ht="12.75" customHeight="1">
      <c r="A335" s="181"/>
      <c r="B335" s="131" t="s">
        <v>168</v>
      </c>
      <c r="C335" s="108">
        <v>48</v>
      </c>
      <c r="D335" s="34" t="s">
        <v>31</v>
      </c>
      <c r="E335" s="107">
        <v>14.54</v>
      </c>
      <c r="F335" s="107">
        <v>4.7</v>
      </c>
      <c r="G335" s="107">
        <v>0.48</v>
      </c>
      <c r="H335" s="107">
        <v>9.32</v>
      </c>
      <c r="I335" s="108" t="s">
        <v>153</v>
      </c>
      <c r="J335" s="107">
        <v>8.5</v>
      </c>
      <c r="K335" s="108">
        <v>1899.06</v>
      </c>
      <c r="L335" s="36">
        <f t="shared" si="70"/>
        <v>0.004475898602466484</v>
      </c>
      <c r="M335" s="35">
        <v>256</v>
      </c>
      <c r="N335" s="35">
        <f t="shared" si="71"/>
        <v>1.1458300422314198</v>
      </c>
      <c r="O335" s="35">
        <f t="shared" si="72"/>
        <v>268.553916147989</v>
      </c>
      <c r="P335" s="35">
        <f t="shared" si="73"/>
        <v>68.74980253388519</v>
      </c>
      <c r="Q335" s="11"/>
      <c r="R335" s="10"/>
      <c r="S335" s="10"/>
    </row>
    <row r="336" spans="1:19" s="9" customFormat="1" ht="12.75" customHeight="1">
      <c r="A336" s="181"/>
      <c r="B336" s="79" t="s">
        <v>433</v>
      </c>
      <c r="C336" s="34">
        <v>40</v>
      </c>
      <c r="D336" s="34">
        <v>1969</v>
      </c>
      <c r="E336" s="80">
        <f>SUM(F336:H336)</f>
        <v>8.427</v>
      </c>
      <c r="F336" s="80"/>
      <c r="G336" s="80"/>
      <c r="H336" s="80">
        <v>8.427</v>
      </c>
      <c r="I336" s="81">
        <v>1881.33</v>
      </c>
      <c r="J336" s="80">
        <v>8.427</v>
      </c>
      <c r="K336" s="81">
        <v>1881.33</v>
      </c>
      <c r="L336" s="36">
        <f t="shared" si="70"/>
        <v>0.004479277957615092</v>
      </c>
      <c r="M336" s="35">
        <v>316.536</v>
      </c>
      <c r="N336" s="35">
        <f t="shared" si="71"/>
        <v>1.4178527275916506</v>
      </c>
      <c r="O336" s="35">
        <f t="shared" si="72"/>
        <v>268.7566774569055</v>
      </c>
      <c r="P336" s="35">
        <f t="shared" si="73"/>
        <v>85.07116365549903</v>
      </c>
      <c r="R336" s="10"/>
      <c r="S336" s="10"/>
    </row>
    <row r="337" spans="1:19" s="9" customFormat="1" ht="12.75" customHeight="1">
      <c r="A337" s="181"/>
      <c r="B337" s="79" t="s">
        <v>131</v>
      </c>
      <c r="C337" s="34">
        <v>6</v>
      </c>
      <c r="D337" s="34">
        <v>1910</v>
      </c>
      <c r="E337" s="80">
        <v>1.51387</v>
      </c>
      <c r="F337" s="80">
        <v>0.349</v>
      </c>
      <c r="G337" s="80"/>
      <c r="H337" s="80">
        <f>E337-F337-G337</f>
        <v>1.16487</v>
      </c>
      <c r="I337" s="81">
        <v>258.62</v>
      </c>
      <c r="J337" s="80">
        <f>H337</f>
        <v>1.16487</v>
      </c>
      <c r="K337" s="81">
        <f>I337</f>
        <v>258.62</v>
      </c>
      <c r="L337" s="36">
        <f t="shared" si="70"/>
        <v>0.00450417601113603</v>
      </c>
      <c r="M337" s="35">
        <v>288.2</v>
      </c>
      <c r="N337" s="35">
        <f t="shared" si="71"/>
        <v>1.2981035264094039</v>
      </c>
      <c r="O337" s="35">
        <f t="shared" si="72"/>
        <v>270.25056066816177</v>
      </c>
      <c r="P337" s="35">
        <f t="shared" si="73"/>
        <v>77.88621158456422</v>
      </c>
      <c r="R337" s="10"/>
      <c r="S337" s="10"/>
    </row>
    <row r="338" spans="1:19" s="9" customFormat="1" ht="12.75" customHeight="1">
      <c r="A338" s="181"/>
      <c r="B338" s="79" t="s">
        <v>434</v>
      </c>
      <c r="C338" s="34">
        <v>54</v>
      </c>
      <c r="D338" s="34">
        <v>1992</v>
      </c>
      <c r="E338" s="80">
        <f>SUM(F338:H338)</f>
        <v>31.115</v>
      </c>
      <c r="F338" s="80">
        <v>7.99683</v>
      </c>
      <c r="G338" s="80">
        <v>8.45</v>
      </c>
      <c r="H338" s="80">
        <v>14.66817</v>
      </c>
      <c r="I338" s="81">
        <v>3243.5</v>
      </c>
      <c r="J338" s="80">
        <v>14.66817</v>
      </c>
      <c r="K338" s="81">
        <v>3243.5</v>
      </c>
      <c r="L338" s="36">
        <f t="shared" si="70"/>
        <v>0.004522327732387852</v>
      </c>
      <c r="M338" s="35">
        <v>316.536</v>
      </c>
      <c r="N338" s="35">
        <f t="shared" si="71"/>
        <v>1.4314795310991213</v>
      </c>
      <c r="O338" s="35">
        <f t="shared" si="72"/>
        <v>271.33966394327115</v>
      </c>
      <c r="P338" s="35">
        <f t="shared" si="73"/>
        <v>85.88877186594728</v>
      </c>
      <c r="R338" s="10"/>
      <c r="S338" s="10"/>
    </row>
    <row r="339" spans="1:19" s="9" customFormat="1" ht="12.75" customHeight="1">
      <c r="A339" s="181"/>
      <c r="B339" s="79" t="s">
        <v>435</v>
      </c>
      <c r="C339" s="34">
        <v>5</v>
      </c>
      <c r="D339" s="34">
        <v>1961</v>
      </c>
      <c r="E339" s="80">
        <f>SUM(F339:H339)</f>
        <v>0.8429</v>
      </c>
      <c r="F339" s="80"/>
      <c r="G339" s="80"/>
      <c r="H339" s="80">
        <v>0.8429</v>
      </c>
      <c r="I339" s="81">
        <v>186.3</v>
      </c>
      <c r="J339" s="80">
        <v>0.8429</v>
      </c>
      <c r="K339" s="81">
        <v>186.3</v>
      </c>
      <c r="L339" s="36">
        <f t="shared" si="70"/>
        <v>0.004524422973698336</v>
      </c>
      <c r="M339" s="35">
        <v>316.536</v>
      </c>
      <c r="N339" s="35">
        <f t="shared" si="71"/>
        <v>1.4321427504025763</v>
      </c>
      <c r="O339" s="35">
        <f t="shared" si="72"/>
        <v>271.46537842190014</v>
      </c>
      <c r="P339" s="35">
        <f t="shared" si="73"/>
        <v>85.92856502415458</v>
      </c>
      <c r="R339" s="10"/>
      <c r="S339" s="10"/>
    </row>
    <row r="340" spans="1:19" s="9" customFormat="1" ht="12.75" customHeight="1">
      <c r="A340" s="181"/>
      <c r="B340" s="117" t="s">
        <v>260</v>
      </c>
      <c r="C340" s="53">
        <v>50</v>
      </c>
      <c r="D340" s="53">
        <v>1980</v>
      </c>
      <c r="E340" s="80">
        <v>26.236</v>
      </c>
      <c r="F340" s="80">
        <v>4.59</v>
      </c>
      <c r="G340" s="80">
        <v>8</v>
      </c>
      <c r="H340" s="80">
        <v>13.646</v>
      </c>
      <c r="I340" s="81">
        <v>3015.29</v>
      </c>
      <c r="J340" s="80">
        <v>13.646</v>
      </c>
      <c r="K340" s="81">
        <v>3015.29</v>
      </c>
      <c r="L340" s="36">
        <f t="shared" si="70"/>
        <v>0.00452560118595558</v>
      </c>
      <c r="M340" s="35">
        <v>343.549</v>
      </c>
      <c r="N340" s="35">
        <f t="shared" si="71"/>
        <v>1.5547657618338533</v>
      </c>
      <c r="O340" s="35">
        <f t="shared" si="72"/>
        <v>271.5360711573348</v>
      </c>
      <c r="P340" s="35">
        <f t="shared" si="73"/>
        <v>93.2859457100312</v>
      </c>
      <c r="R340" s="10"/>
      <c r="S340" s="10"/>
    </row>
    <row r="341" spans="1:19" s="9" customFormat="1" ht="12.75" customHeight="1">
      <c r="A341" s="181"/>
      <c r="B341" s="79" t="s">
        <v>630</v>
      </c>
      <c r="C341" s="34">
        <v>36</v>
      </c>
      <c r="D341" s="34" t="s">
        <v>31</v>
      </c>
      <c r="E341" s="80">
        <f>SUM(F341:H341)</f>
        <v>19.9</v>
      </c>
      <c r="F341" s="80">
        <v>3.2</v>
      </c>
      <c r="G341" s="80">
        <v>6</v>
      </c>
      <c r="H341" s="80">
        <v>10.7</v>
      </c>
      <c r="I341" s="81">
        <v>2354.69</v>
      </c>
      <c r="J341" s="80">
        <v>9.8</v>
      </c>
      <c r="K341" s="81">
        <v>2153.42</v>
      </c>
      <c r="L341" s="154">
        <f t="shared" si="70"/>
        <v>0.004550900428156143</v>
      </c>
      <c r="M341" s="43">
        <v>209.8</v>
      </c>
      <c r="N341" s="155">
        <f t="shared" si="71"/>
        <v>0.9547789098271587</v>
      </c>
      <c r="O341" s="155">
        <f t="shared" si="72"/>
        <v>273.05402568936853</v>
      </c>
      <c r="P341" s="155">
        <f t="shared" si="73"/>
        <v>57.286734589629525</v>
      </c>
      <c r="R341" s="10"/>
      <c r="S341" s="10"/>
    </row>
    <row r="342" spans="1:19" s="9" customFormat="1" ht="12.75" customHeight="1">
      <c r="A342" s="181"/>
      <c r="B342" s="117" t="s">
        <v>261</v>
      </c>
      <c r="C342" s="53">
        <v>38</v>
      </c>
      <c r="D342" s="53">
        <v>1982</v>
      </c>
      <c r="E342" s="80">
        <v>19.791</v>
      </c>
      <c r="F342" s="80">
        <v>2.897</v>
      </c>
      <c r="G342" s="80">
        <v>6.4</v>
      </c>
      <c r="H342" s="80">
        <v>10.494</v>
      </c>
      <c r="I342" s="81">
        <v>2278.82</v>
      </c>
      <c r="J342" s="80">
        <v>9.86</v>
      </c>
      <c r="K342" s="81">
        <v>2160.52</v>
      </c>
      <c r="L342" s="36">
        <f t="shared" si="70"/>
        <v>0.004563716142410161</v>
      </c>
      <c r="M342" s="35">
        <v>343.459</v>
      </c>
      <c r="N342" s="35">
        <f t="shared" si="71"/>
        <v>1.5674493825560514</v>
      </c>
      <c r="O342" s="35">
        <f t="shared" si="72"/>
        <v>273.82296854460964</v>
      </c>
      <c r="P342" s="35">
        <f t="shared" si="73"/>
        <v>94.04696295336308</v>
      </c>
      <c r="R342" s="10"/>
      <c r="S342" s="10"/>
    </row>
    <row r="343" spans="1:19" s="9" customFormat="1" ht="12.75" customHeight="1">
      <c r="A343" s="181"/>
      <c r="B343" s="79" t="s">
        <v>49</v>
      </c>
      <c r="C343" s="34">
        <v>39</v>
      </c>
      <c r="D343" s="34">
        <v>1999</v>
      </c>
      <c r="E343" s="80">
        <v>22.015</v>
      </c>
      <c r="F343" s="80">
        <v>5.2734</v>
      </c>
      <c r="G343" s="80">
        <v>6.24</v>
      </c>
      <c r="H343" s="80">
        <v>10.5016</v>
      </c>
      <c r="I343" s="81">
        <v>2296.95</v>
      </c>
      <c r="J343" s="80">
        <f>H343</f>
        <v>10.5016</v>
      </c>
      <c r="K343" s="81">
        <v>2296.95</v>
      </c>
      <c r="L343" s="36">
        <f t="shared" si="70"/>
        <v>0.004571975881059666</v>
      </c>
      <c r="M343" s="35">
        <v>306.181</v>
      </c>
      <c r="N343" s="35">
        <f t="shared" si="71"/>
        <v>1.3998521472387295</v>
      </c>
      <c r="O343" s="35">
        <f t="shared" si="72"/>
        <v>274.31855286357995</v>
      </c>
      <c r="P343" s="35">
        <f>N343*60</f>
        <v>83.99112883432377</v>
      </c>
      <c r="R343" s="10"/>
      <c r="S343" s="10"/>
    </row>
    <row r="344" spans="1:19" s="9" customFormat="1" ht="12.75">
      <c r="A344" s="181"/>
      <c r="B344" s="79" t="s">
        <v>93</v>
      </c>
      <c r="C344" s="34">
        <v>41</v>
      </c>
      <c r="D344" s="34">
        <v>1987</v>
      </c>
      <c r="E344" s="80">
        <v>21.78</v>
      </c>
      <c r="F344" s="80">
        <v>5.09</v>
      </c>
      <c r="G344" s="80">
        <v>6.08</v>
      </c>
      <c r="H344" s="80">
        <f>E344-F344-G344</f>
        <v>10.610000000000001</v>
      </c>
      <c r="I344" s="81">
        <v>2315.8</v>
      </c>
      <c r="J344" s="80">
        <f>H344/I344*K344</f>
        <v>7.564172208308144</v>
      </c>
      <c r="K344" s="34">
        <v>1651</v>
      </c>
      <c r="L344" s="36">
        <f t="shared" si="70"/>
        <v>0.004581570083772347</v>
      </c>
      <c r="M344" s="35">
        <v>332.56</v>
      </c>
      <c r="N344" s="35">
        <f t="shared" si="71"/>
        <v>1.5236469470593317</v>
      </c>
      <c r="O344" s="35">
        <f t="shared" si="72"/>
        <v>274.89420502634084</v>
      </c>
      <c r="P344" s="35">
        <f>O344*M344/1000</f>
        <v>91.41881682355992</v>
      </c>
      <c r="R344" s="10"/>
      <c r="S344" s="10"/>
    </row>
    <row r="345" spans="1:19" s="9" customFormat="1" ht="12.75" customHeight="1">
      <c r="A345" s="181"/>
      <c r="B345" s="79" t="s">
        <v>436</v>
      </c>
      <c r="C345" s="34">
        <v>17</v>
      </c>
      <c r="D345" s="34">
        <v>1962</v>
      </c>
      <c r="E345" s="80">
        <f>SUM(F345:H345)</f>
        <v>3.784</v>
      </c>
      <c r="F345" s="80"/>
      <c r="G345" s="80"/>
      <c r="H345" s="80">
        <v>3.784</v>
      </c>
      <c r="I345" s="81">
        <v>821.23</v>
      </c>
      <c r="J345" s="80">
        <v>3.784</v>
      </c>
      <c r="K345" s="81">
        <v>821.23</v>
      </c>
      <c r="L345" s="36">
        <f t="shared" si="70"/>
        <v>0.004607722562497717</v>
      </c>
      <c r="M345" s="35">
        <v>316.536</v>
      </c>
      <c r="N345" s="35">
        <f t="shared" si="71"/>
        <v>1.4585100690427772</v>
      </c>
      <c r="O345" s="35">
        <f t="shared" si="72"/>
        <v>276.46335374986296</v>
      </c>
      <c r="P345" s="35">
        <f>O345*M345/1000</f>
        <v>87.51060414256662</v>
      </c>
      <c r="R345" s="10"/>
      <c r="S345" s="10"/>
    </row>
    <row r="346" spans="1:19" s="9" customFormat="1" ht="12.75">
      <c r="A346" s="181"/>
      <c r="B346" s="79" t="s">
        <v>197</v>
      </c>
      <c r="C346" s="34">
        <v>61</v>
      </c>
      <c r="D346" s="34">
        <v>1966</v>
      </c>
      <c r="E346" s="80">
        <v>26.192</v>
      </c>
      <c r="F346" s="80">
        <v>4.13355</v>
      </c>
      <c r="G346" s="80">
        <v>9.6</v>
      </c>
      <c r="H346" s="80">
        <f>E346-F346-G346</f>
        <v>12.458450000000001</v>
      </c>
      <c r="I346" s="81">
        <v>2700.39</v>
      </c>
      <c r="J346" s="80">
        <v>12.458</v>
      </c>
      <c r="K346" s="81">
        <v>2700.39</v>
      </c>
      <c r="L346" s="36">
        <f t="shared" si="70"/>
        <v>0.0046134076929628684</v>
      </c>
      <c r="M346" s="35">
        <v>267.81</v>
      </c>
      <c r="N346" s="35">
        <f t="shared" si="71"/>
        <v>1.2355167142523857</v>
      </c>
      <c r="O346" s="35">
        <f t="shared" si="72"/>
        <v>276.8044615777721</v>
      </c>
      <c r="P346" s="35">
        <f>O346*M346/1000</f>
        <v>74.13100285514315</v>
      </c>
      <c r="R346" s="10"/>
      <c r="S346" s="10"/>
    </row>
    <row r="347" spans="1:19" s="9" customFormat="1" ht="12.75">
      <c r="A347" s="181"/>
      <c r="B347" s="79" t="s">
        <v>50</v>
      </c>
      <c r="C347" s="34">
        <v>40</v>
      </c>
      <c r="D347" s="34">
        <v>1996</v>
      </c>
      <c r="E347" s="80">
        <v>27.125</v>
      </c>
      <c r="F347" s="80">
        <v>6.693896</v>
      </c>
      <c r="G347" s="80">
        <v>7.19516</v>
      </c>
      <c r="H347" s="80">
        <v>13.235944</v>
      </c>
      <c r="I347" s="81">
        <v>2861.83</v>
      </c>
      <c r="J347" s="80">
        <f>H347</f>
        <v>13.235944</v>
      </c>
      <c r="K347" s="81">
        <v>2861.83</v>
      </c>
      <c r="L347" s="36">
        <f t="shared" si="70"/>
        <v>0.004624993098821383</v>
      </c>
      <c r="M347" s="35">
        <v>306.181</v>
      </c>
      <c r="N347" s="35">
        <f t="shared" si="71"/>
        <v>1.41608501199023</v>
      </c>
      <c r="O347" s="35">
        <f t="shared" si="72"/>
        <v>277.499585929283</v>
      </c>
      <c r="P347" s="35">
        <f>N347*60</f>
        <v>84.9651007194138</v>
      </c>
      <c r="R347" s="10"/>
      <c r="S347" s="10"/>
    </row>
    <row r="348" spans="1:19" s="9" customFormat="1" ht="12.75">
      <c r="A348" s="181"/>
      <c r="B348" s="79" t="s">
        <v>606</v>
      </c>
      <c r="C348" s="34">
        <v>75</v>
      </c>
      <c r="D348" s="34">
        <v>1973</v>
      </c>
      <c r="E348" s="80">
        <v>37.308</v>
      </c>
      <c r="F348" s="80">
        <v>6.743</v>
      </c>
      <c r="G348" s="80">
        <v>12</v>
      </c>
      <c r="H348" s="80">
        <v>18.56</v>
      </c>
      <c r="I348" s="81">
        <v>4007.78</v>
      </c>
      <c r="J348" s="80">
        <v>18.56</v>
      </c>
      <c r="K348" s="81">
        <v>4007.78</v>
      </c>
      <c r="L348" s="36">
        <f t="shared" si="70"/>
        <v>0.004630992719161231</v>
      </c>
      <c r="M348" s="35">
        <v>210.7</v>
      </c>
      <c r="N348" s="35">
        <f t="shared" si="71"/>
        <v>0.9757501659272714</v>
      </c>
      <c r="O348" s="35">
        <f t="shared" si="72"/>
        <v>277.8595631496739</v>
      </c>
      <c r="P348" s="35">
        <f>O348*M348/1000</f>
        <v>58.54500995563628</v>
      </c>
      <c r="R348" s="10"/>
      <c r="S348" s="10"/>
    </row>
    <row r="349" spans="1:19" s="9" customFormat="1" ht="12.75">
      <c r="A349" s="181"/>
      <c r="B349" s="79" t="s">
        <v>607</v>
      </c>
      <c r="C349" s="34">
        <v>45</v>
      </c>
      <c r="D349" s="34">
        <v>1990</v>
      </c>
      <c r="E349" s="80">
        <v>22.379</v>
      </c>
      <c r="F349" s="80">
        <v>4.238</v>
      </c>
      <c r="G349" s="80">
        <v>7.2</v>
      </c>
      <c r="H349" s="80">
        <v>10.94</v>
      </c>
      <c r="I349" s="81">
        <v>2316.6</v>
      </c>
      <c r="J349" s="80">
        <v>10.94</v>
      </c>
      <c r="K349" s="81">
        <v>2316.6</v>
      </c>
      <c r="L349" s="36">
        <f t="shared" si="70"/>
        <v>0.004722438055771389</v>
      </c>
      <c r="M349" s="35">
        <v>210.7</v>
      </c>
      <c r="N349" s="35">
        <f t="shared" si="71"/>
        <v>0.9950176983510316</v>
      </c>
      <c r="O349" s="35">
        <f t="shared" si="72"/>
        <v>283.34628334628337</v>
      </c>
      <c r="P349" s="35">
        <f>O349*M349/1000</f>
        <v>59.701061901061905</v>
      </c>
      <c r="R349" s="10"/>
      <c r="S349" s="10"/>
    </row>
    <row r="350" spans="1:19" s="9" customFormat="1" ht="12.75">
      <c r="A350" s="181"/>
      <c r="B350" s="79" t="s">
        <v>608</v>
      </c>
      <c r="C350" s="34">
        <v>40</v>
      </c>
      <c r="D350" s="34">
        <v>1989</v>
      </c>
      <c r="E350" s="80">
        <v>20.92</v>
      </c>
      <c r="F350" s="80">
        <v>4.048</v>
      </c>
      <c r="G350" s="80">
        <v>6.4</v>
      </c>
      <c r="H350" s="80">
        <v>10.47</v>
      </c>
      <c r="I350" s="81">
        <v>2207.95</v>
      </c>
      <c r="J350" s="80">
        <v>10.47</v>
      </c>
      <c r="K350" s="81">
        <v>2207.95</v>
      </c>
      <c r="L350" s="36">
        <f t="shared" si="70"/>
        <v>0.004741955207319007</v>
      </c>
      <c r="M350" s="35">
        <v>210.7</v>
      </c>
      <c r="N350" s="35">
        <f t="shared" si="71"/>
        <v>0.9991299621821148</v>
      </c>
      <c r="O350" s="35">
        <f t="shared" si="72"/>
        <v>284.5173124391405</v>
      </c>
      <c r="P350" s="35">
        <f>O350*M350/1000</f>
        <v>59.947797730926894</v>
      </c>
      <c r="R350" s="10"/>
      <c r="S350" s="10"/>
    </row>
    <row r="351" spans="1:19" s="9" customFormat="1" ht="12.75" customHeight="1">
      <c r="A351" s="181"/>
      <c r="B351" s="109" t="s">
        <v>239</v>
      </c>
      <c r="C351" s="110">
        <v>20</v>
      </c>
      <c r="D351" s="34">
        <v>1961</v>
      </c>
      <c r="E351" s="80">
        <f>+F351+G351+H351</f>
        <v>10.896998</v>
      </c>
      <c r="F351" s="111">
        <v>2.6561700000000004</v>
      </c>
      <c r="G351" s="111">
        <v>3.2</v>
      </c>
      <c r="H351" s="111">
        <v>5.040828</v>
      </c>
      <c r="I351" s="112">
        <v>1061.89</v>
      </c>
      <c r="J351" s="111">
        <v>5.040828</v>
      </c>
      <c r="K351" s="112">
        <v>1061.89</v>
      </c>
      <c r="L351" s="36">
        <f>+J351/K351</f>
        <v>0.004747034061908483</v>
      </c>
      <c r="M351" s="35">
        <v>312.83</v>
      </c>
      <c r="N351" s="35">
        <f>+L351*M351</f>
        <v>1.4850146655868308</v>
      </c>
      <c r="O351" s="35">
        <f>+L351*60*1000</f>
        <v>284.822043714509</v>
      </c>
      <c r="P351" s="35">
        <f>+N351*60</f>
        <v>89.10087993520985</v>
      </c>
      <c r="R351" s="10"/>
      <c r="S351" s="10"/>
    </row>
    <row r="352" spans="1:19" s="9" customFormat="1" ht="12.75">
      <c r="A352" s="181"/>
      <c r="B352" s="79" t="s">
        <v>795</v>
      </c>
      <c r="C352" s="34">
        <v>40</v>
      </c>
      <c r="D352" s="34">
        <v>1974</v>
      </c>
      <c r="E352" s="80">
        <v>20.2</v>
      </c>
      <c r="F352" s="80">
        <v>3.504</v>
      </c>
      <c r="G352" s="80">
        <v>5.94</v>
      </c>
      <c r="H352" s="80">
        <v>10.755</v>
      </c>
      <c r="I352" s="46" t="s">
        <v>790</v>
      </c>
      <c r="J352" s="80">
        <v>10.755</v>
      </c>
      <c r="K352" s="81">
        <v>2255.44</v>
      </c>
      <c r="L352" s="36">
        <f>J352/K352</f>
        <v>0.004768470897031178</v>
      </c>
      <c r="M352" s="35">
        <v>354.25</v>
      </c>
      <c r="N352" s="35">
        <f>L352*M352</f>
        <v>1.6892308152732949</v>
      </c>
      <c r="O352" s="35">
        <f>L352*60*1000</f>
        <v>286.1082538218707</v>
      </c>
      <c r="P352" s="35">
        <f>O352*M352/1000</f>
        <v>101.3538489163977</v>
      </c>
      <c r="Q352" s="11"/>
      <c r="R352" s="10"/>
      <c r="S352" s="10"/>
    </row>
    <row r="353" spans="1:19" s="9" customFormat="1" ht="12.75" customHeight="1">
      <c r="A353" s="181"/>
      <c r="B353" s="79" t="s">
        <v>51</v>
      </c>
      <c r="C353" s="34">
        <v>60</v>
      </c>
      <c r="D353" s="34">
        <v>1981</v>
      </c>
      <c r="E353" s="80">
        <v>32.341</v>
      </c>
      <c r="F353" s="80">
        <v>7.069871</v>
      </c>
      <c r="G353" s="80">
        <v>9.6</v>
      </c>
      <c r="H353" s="80">
        <v>15.671135</v>
      </c>
      <c r="I353" s="81">
        <v>3285.91</v>
      </c>
      <c r="J353" s="80">
        <f>H353</f>
        <v>15.671135</v>
      </c>
      <c r="K353" s="81">
        <v>3285.91</v>
      </c>
      <c r="L353" s="36">
        <f>J353/K353</f>
        <v>0.004769191791619369</v>
      </c>
      <c r="M353" s="35">
        <v>307.38</v>
      </c>
      <c r="N353" s="35">
        <f>L353*M353</f>
        <v>1.4659541729079615</v>
      </c>
      <c r="O353" s="35">
        <f>L353*60*1000</f>
        <v>286.15150749716213</v>
      </c>
      <c r="P353" s="35">
        <f>N353*60</f>
        <v>87.9572503744777</v>
      </c>
      <c r="R353" s="10"/>
      <c r="S353" s="10"/>
    </row>
    <row r="354" spans="1:19" s="9" customFormat="1" ht="12.75">
      <c r="A354" s="181"/>
      <c r="B354" s="79" t="s">
        <v>609</v>
      </c>
      <c r="C354" s="34">
        <v>40</v>
      </c>
      <c r="D354" s="34">
        <v>1986</v>
      </c>
      <c r="E354" s="80">
        <v>20.849</v>
      </c>
      <c r="F354" s="80">
        <v>3.964</v>
      </c>
      <c r="G354" s="80">
        <v>5.82</v>
      </c>
      <c r="H354" s="80">
        <v>10.964</v>
      </c>
      <c r="I354" s="81">
        <v>2297.1</v>
      </c>
      <c r="J354" s="80">
        <v>10.964</v>
      </c>
      <c r="K354" s="81">
        <v>2297.1</v>
      </c>
      <c r="L354" s="36">
        <f>J354/K354</f>
        <v>0.004772974620173263</v>
      </c>
      <c r="M354" s="35">
        <v>210.7</v>
      </c>
      <c r="N354" s="35">
        <f>L354*M354</f>
        <v>1.0056657524705064</v>
      </c>
      <c r="O354" s="35">
        <f>L354*60*1000</f>
        <v>286.3784772103958</v>
      </c>
      <c r="P354" s="35">
        <f>O354*M354/1000</f>
        <v>60.339945148230385</v>
      </c>
      <c r="R354" s="10"/>
      <c r="S354" s="10"/>
    </row>
    <row r="355" spans="1:19" s="9" customFormat="1" ht="12.75">
      <c r="A355" s="181"/>
      <c r="B355" s="79" t="s">
        <v>727</v>
      </c>
      <c r="C355" s="34">
        <v>40</v>
      </c>
      <c r="D355" s="34">
        <v>1974</v>
      </c>
      <c r="E355" s="80">
        <v>20.713</v>
      </c>
      <c r="F355" s="80">
        <v>3.471</v>
      </c>
      <c r="G355" s="80">
        <v>6.4</v>
      </c>
      <c r="H355" s="80">
        <v>10.842</v>
      </c>
      <c r="I355" s="81">
        <v>2261.31</v>
      </c>
      <c r="J355" s="80">
        <v>10.8</v>
      </c>
      <c r="K355" s="81">
        <v>2261.3</v>
      </c>
      <c r="L355" s="36">
        <f>J355/K355</f>
        <v>0.004776013797373193</v>
      </c>
      <c r="M355" s="35">
        <v>194.3</v>
      </c>
      <c r="N355" s="35">
        <f>L355*M355</f>
        <v>0.9279794808296113</v>
      </c>
      <c r="O355" s="35">
        <f>L355*60*1000</f>
        <v>286.5608278423916</v>
      </c>
      <c r="P355" s="35">
        <f>O355*M355/1000</f>
        <v>55.67876884977669</v>
      </c>
      <c r="R355" s="10"/>
      <c r="S355" s="10"/>
    </row>
    <row r="356" spans="1:19" s="9" customFormat="1" ht="12.75">
      <c r="A356" s="181"/>
      <c r="B356" s="105" t="s">
        <v>240</v>
      </c>
      <c r="C356" s="106">
        <v>20</v>
      </c>
      <c r="D356" s="34">
        <v>1900</v>
      </c>
      <c r="E356" s="80">
        <f>+F356+G356+H356</f>
        <v>10.082481</v>
      </c>
      <c r="F356" s="111">
        <v>2.20006</v>
      </c>
      <c r="G356" s="111">
        <v>3.12</v>
      </c>
      <c r="H356" s="111">
        <v>4.762421</v>
      </c>
      <c r="I356" s="108">
        <v>1059.35</v>
      </c>
      <c r="J356" s="111">
        <v>4.762421</v>
      </c>
      <c r="K356" s="108">
        <v>996.14</v>
      </c>
      <c r="L356" s="36">
        <f>+J356/K356</f>
        <v>0.004780875178187805</v>
      </c>
      <c r="M356" s="35">
        <v>312.83</v>
      </c>
      <c r="N356" s="35">
        <f>+L356*M356</f>
        <v>1.495601181992491</v>
      </c>
      <c r="O356" s="35">
        <f>+L356*60*1000</f>
        <v>286.8525106912683</v>
      </c>
      <c r="P356" s="35">
        <f>+N356*60</f>
        <v>89.73607091954946</v>
      </c>
      <c r="Q356" s="11"/>
      <c r="R356" s="10"/>
      <c r="S356" s="10"/>
    </row>
    <row r="357" spans="1:19" s="9" customFormat="1" ht="12.75" customHeight="1">
      <c r="A357" s="181"/>
      <c r="B357" s="79" t="s">
        <v>581</v>
      </c>
      <c r="C357" s="34">
        <v>30</v>
      </c>
      <c r="D357" s="34">
        <v>1982</v>
      </c>
      <c r="E357" s="80">
        <v>16.8</v>
      </c>
      <c r="F357" s="80">
        <v>3.6282</v>
      </c>
      <c r="G357" s="80">
        <v>4.8</v>
      </c>
      <c r="H357" s="80">
        <f>E357-F357-G357</f>
        <v>8.3718</v>
      </c>
      <c r="I357" s="81">
        <v>1725.45</v>
      </c>
      <c r="J357" s="80">
        <v>8.3718</v>
      </c>
      <c r="K357" s="81">
        <v>1725.45</v>
      </c>
      <c r="L357" s="36">
        <f>J357/K357</f>
        <v>0.0048519516647831</v>
      </c>
      <c r="M357" s="35">
        <v>243.179</v>
      </c>
      <c r="N357" s="35">
        <f>L357*M357</f>
        <v>1.1798927538902895</v>
      </c>
      <c r="O357" s="35">
        <f>L357*1000*60</f>
        <v>291.117099886986</v>
      </c>
      <c r="P357" s="35">
        <f>N357*60</f>
        <v>70.79356523341737</v>
      </c>
      <c r="R357" s="10"/>
      <c r="S357" s="10"/>
    </row>
    <row r="358" spans="1:19" s="9" customFormat="1" ht="12.75">
      <c r="A358" s="181"/>
      <c r="B358" s="109" t="s">
        <v>241</v>
      </c>
      <c r="C358" s="110">
        <v>8</v>
      </c>
      <c r="D358" s="34">
        <v>1985</v>
      </c>
      <c r="E358" s="80">
        <f>+F358+G358+H358</f>
        <v>3.2851170000000005</v>
      </c>
      <c r="F358" s="111">
        <v>0.2683</v>
      </c>
      <c r="G358" s="111">
        <v>1.12</v>
      </c>
      <c r="H358" s="111">
        <v>1.8968170000000002</v>
      </c>
      <c r="I358" s="112">
        <v>601.23</v>
      </c>
      <c r="J358" s="111">
        <v>1.8968170000000002</v>
      </c>
      <c r="K358" s="112">
        <v>389.96000000000004</v>
      </c>
      <c r="L358" s="36">
        <f>+J358/K358</f>
        <v>0.0048641322186890965</v>
      </c>
      <c r="M358" s="35">
        <v>312.83</v>
      </c>
      <c r="N358" s="35">
        <f>+L358*M358</f>
        <v>1.52164648197251</v>
      </c>
      <c r="O358" s="35">
        <f>+L358*60*1000</f>
        <v>291.84793312134576</v>
      </c>
      <c r="P358" s="35">
        <f>+N358*60</f>
        <v>91.2987889183506</v>
      </c>
      <c r="R358" s="10"/>
      <c r="S358" s="10"/>
    </row>
    <row r="359" spans="1:19" s="9" customFormat="1" ht="12.75" customHeight="1">
      <c r="A359" s="181"/>
      <c r="B359" s="79" t="s">
        <v>728</v>
      </c>
      <c r="C359" s="34">
        <v>25</v>
      </c>
      <c r="D359" s="34">
        <v>1987</v>
      </c>
      <c r="E359" s="80">
        <v>15.822</v>
      </c>
      <c r="F359" s="80">
        <v>4.199</v>
      </c>
      <c r="G359" s="80">
        <v>4</v>
      </c>
      <c r="H359" s="80">
        <v>7.623</v>
      </c>
      <c r="I359" s="81">
        <v>1564.68</v>
      </c>
      <c r="J359" s="80">
        <v>7.623</v>
      </c>
      <c r="K359" s="81">
        <v>1564.7</v>
      </c>
      <c r="L359" s="36">
        <f>J359/K359</f>
        <v>0.004871860420527897</v>
      </c>
      <c r="M359" s="35">
        <v>194.3</v>
      </c>
      <c r="N359" s="35">
        <f>L359*M359</f>
        <v>0.9466024797085704</v>
      </c>
      <c r="O359" s="35">
        <f>L359*60*1000</f>
        <v>292.3116252316738</v>
      </c>
      <c r="P359" s="35">
        <f>O359*M359/1000</f>
        <v>56.79614878251422</v>
      </c>
      <c r="Q359" s="11"/>
      <c r="R359" s="10"/>
      <c r="S359" s="10"/>
    </row>
    <row r="360" spans="1:19" s="9" customFormat="1" ht="12.75" customHeight="1">
      <c r="A360" s="181"/>
      <c r="B360" s="109" t="s">
        <v>242</v>
      </c>
      <c r="C360" s="110">
        <v>9</v>
      </c>
      <c r="D360" s="34">
        <v>1973</v>
      </c>
      <c r="E360" s="80">
        <f>+F360+G360+H360</f>
        <v>3.915301</v>
      </c>
      <c r="F360" s="111">
        <v>0.48294</v>
      </c>
      <c r="G360" s="111">
        <v>1.44</v>
      </c>
      <c r="H360" s="111">
        <v>1.992361</v>
      </c>
      <c r="I360" s="112">
        <v>670.11</v>
      </c>
      <c r="J360" s="111">
        <v>1.992361</v>
      </c>
      <c r="K360" s="112">
        <v>408.73</v>
      </c>
      <c r="L360" s="36">
        <f>+J360/K360</f>
        <v>0.00487451618427813</v>
      </c>
      <c r="M360" s="35">
        <v>312.83</v>
      </c>
      <c r="N360" s="35">
        <f>+L360*M360</f>
        <v>1.5248948979277273</v>
      </c>
      <c r="O360" s="35">
        <f>+L360*60*1000</f>
        <v>292.4709710566878</v>
      </c>
      <c r="P360" s="35">
        <f>+N360*60</f>
        <v>91.49369387566364</v>
      </c>
      <c r="R360" s="10"/>
      <c r="S360" s="10"/>
    </row>
    <row r="361" spans="1:19" s="9" customFormat="1" ht="12.75" customHeight="1">
      <c r="A361" s="181"/>
      <c r="B361" s="79" t="s">
        <v>198</v>
      </c>
      <c r="C361" s="34">
        <v>100</v>
      </c>
      <c r="D361" s="34">
        <v>1966</v>
      </c>
      <c r="E361" s="80">
        <v>44.193</v>
      </c>
      <c r="F361" s="80">
        <v>6.601</v>
      </c>
      <c r="G361" s="80">
        <v>16</v>
      </c>
      <c r="H361" s="80">
        <f>E361-F361-G361</f>
        <v>21.592</v>
      </c>
      <c r="I361" s="81">
        <v>4390.61</v>
      </c>
      <c r="J361" s="80">
        <v>21.592</v>
      </c>
      <c r="K361" s="81">
        <v>4390.61</v>
      </c>
      <c r="L361" s="36">
        <f aca="true" t="shared" si="74" ref="L361:L368">J361/K361</f>
        <v>0.004917767690594246</v>
      </c>
      <c r="M361" s="35">
        <v>267.81</v>
      </c>
      <c r="N361" s="35">
        <f aca="true" t="shared" si="75" ref="N361:N368">L361*M361</f>
        <v>1.317027365218045</v>
      </c>
      <c r="O361" s="35">
        <f aca="true" t="shared" si="76" ref="O361:O368">L361*60*1000</f>
        <v>295.0660614356547</v>
      </c>
      <c r="P361" s="35">
        <f aca="true" t="shared" si="77" ref="P361:P368">O361*M361/1000</f>
        <v>79.02164191308269</v>
      </c>
      <c r="R361" s="10"/>
      <c r="S361" s="10"/>
    </row>
    <row r="362" spans="1:19" s="9" customFormat="1" ht="12.75" customHeight="1">
      <c r="A362" s="181"/>
      <c r="B362" s="79" t="s">
        <v>773</v>
      </c>
      <c r="C362" s="34">
        <v>76</v>
      </c>
      <c r="D362" s="34" t="s">
        <v>534</v>
      </c>
      <c r="E362" s="80">
        <f>+F362+G362+H362</f>
        <v>36.858000000000004</v>
      </c>
      <c r="F362" s="80">
        <v>5.41</v>
      </c>
      <c r="G362" s="80">
        <v>11.68</v>
      </c>
      <c r="H362" s="80">
        <v>19.768</v>
      </c>
      <c r="I362" s="81">
        <v>4005.86</v>
      </c>
      <c r="J362" s="80">
        <v>19.768</v>
      </c>
      <c r="K362" s="81">
        <v>4005.86</v>
      </c>
      <c r="L362" s="36">
        <f t="shared" si="74"/>
        <v>0.004934770561127948</v>
      </c>
      <c r="M362" s="35">
        <v>276.9</v>
      </c>
      <c r="N362" s="35">
        <f t="shared" si="75"/>
        <v>1.3664379683763286</v>
      </c>
      <c r="O362" s="35">
        <f t="shared" si="76"/>
        <v>296.0862336676768</v>
      </c>
      <c r="P362" s="35">
        <f t="shared" si="77"/>
        <v>81.9862781025797</v>
      </c>
      <c r="R362" s="10"/>
      <c r="S362" s="10"/>
    </row>
    <row r="363" spans="1:19" s="9" customFormat="1" ht="12.75" customHeight="1">
      <c r="A363" s="181"/>
      <c r="B363" s="79" t="s">
        <v>437</v>
      </c>
      <c r="C363" s="34">
        <v>24</v>
      </c>
      <c r="D363" s="34">
        <v>1968</v>
      </c>
      <c r="E363" s="80">
        <f>SUM(F363:H363)</f>
        <v>5.054</v>
      </c>
      <c r="F363" s="80"/>
      <c r="G363" s="80"/>
      <c r="H363" s="80">
        <v>5.054</v>
      </c>
      <c r="I363" s="81">
        <v>1023.47</v>
      </c>
      <c r="J363" s="80">
        <v>5.054</v>
      </c>
      <c r="K363" s="81">
        <v>1023.47</v>
      </c>
      <c r="L363" s="36">
        <f t="shared" si="74"/>
        <v>0.004938102728951508</v>
      </c>
      <c r="M363" s="35">
        <v>316.536</v>
      </c>
      <c r="N363" s="35">
        <f t="shared" si="75"/>
        <v>1.5630872854113946</v>
      </c>
      <c r="O363" s="35">
        <f t="shared" si="76"/>
        <v>296.2861637370905</v>
      </c>
      <c r="P363" s="35">
        <f t="shared" si="77"/>
        <v>93.78523712468368</v>
      </c>
      <c r="R363" s="10"/>
      <c r="S363" s="10"/>
    </row>
    <row r="364" spans="1:19" s="9" customFormat="1" ht="12.75">
      <c r="A364" s="181"/>
      <c r="B364" s="117" t="s">
        <v>262</v>
      </c>
      <c r="C364" s="53">
        <v>40</v>
      </c>
      <c r="D364" s="53">
        <v>1987</v>
      </c>
      <c r="E364" s="80">
        <v>19.712</v>
      </c>
      <c r="F364" s="80">
        <v>2.04</v>
      </c>
      <c r="G364" s="80">
        <v>6.4</v>
      </c>
      <c r="H364" s="80">
        <v>11.272</v>
      </c>
      <c r="I364" s="81">
        <v>2280.42</v>
      </c>
      <c r="J364" s="80">
        <v>11.272</v>
      </c>
      <c r="K364" s="81">
        <v>2280.42</v>
      </c>
      <c r="L364" s="36">
        <f t="shared" si="74"/>
        <v>0.0049429491058664635</v>
      </c>
      <c r="M364" s="35">
        <v>343.459</v>
      </c>
      <c r="N364" s="35">
        <f t="shared" si="75"/>
        <v>1.6977003569517897</v>
      </c>
      <c r="O364" s="35">
        <f t="shared" si="76"/>
        <v>296.57694635198783</v>
      </c>
      <c r="P364" s="35">
        <f t="shared" si="77"/>
        <v>101.86202141710739</v>
      </c>
      <c r="R364" s="10"/>
      <c r="S364" s="10"/>
    </row>
    <row r="365" spans="1:19" s="9" customFormat="1" ht="11.25" customHeight="1">
      <c r="A365" s="181"/>
      <c r="B365" s="79" t="s">
        <v>880</v>
      </c>
      <c r="C365" s="34">
        <v>22</v>
      </c>
      <c r="D365" s="34">
        <v>1987</v>
      </c>
      <c r="E365" s="80">
        <f>F365+G365+H365</f>
        <v>11.757</v>
      </c>
      <c r="F365" s="80">
        <v>1.949122</v>
      </c>
      <c r="G365" s="80">
        <v>3.80579</v>
      </c>
      <c r="H365" s="80">
        <v>6.002088</v>
      </c>
      <c r="I365" s="81">
        <v>1206.54</v>
      </c>
      <c r="J365" s="80">
        <f>H365</f>
        <v>6.002088</v>
      </c>
      <c r="K365" s="81">
        <f>I365</f>
        <v>1206.54</v>
      </c>
      <c r="L365" s="36">
        <f t="shared" si="74"/>
        <v>0.004974628275896365</v>
      </c>
      <c r="M365" s="35">
        <f>337.7*1.09</f>
        <v>368.093</v>
      </c>
      <c r="N365" s="35">
        <f t="shared" si="75"/>
        <v>1.8311258459595208</v>
      </c>
      <c r="O365" s="35">
        <f t="shared" si="76"/>
        <v>298.47769655378187</v>
      </c>
      <c r="P365" s="35">
        <f t="shared" si="77"/>
        <v>109.86755075757124</v>
      </c>
      <c r="Q365" s="11"/>
      <c r="R365" s="10"/>
      <c r="S365" s="10"/>
    </row>
    <row r="366" spans="1:19" s="9" customFormat="1" ht="12.75" customHeight="1" thickBot="1">
      <c r="A366" s="230"/>
      <c r="B366" s="224" t="s">
        <v>132</v>
      </c>
      <c r="C366" s="225">
        <v>40</v>
      </c>
      <c r="D366" s="225">
        <v>1980</v>
      </c>
      <c r="E366" s="226">
        <v>12.48965</v>
      </c>
      <c r="F366" s="226">
        <v>3.2299</v>
      </c>
      <c r="G366" s="226">
        <v>0.4</v>
      </c>
      <c r="H366" s="226">
        <f>E366-F366-G366</f>
        <v>8.859749999999998</v>
      </c>
      <c r="I366" s="227">
        <v>1774.94</v>
      </c>
      <c r="J366" s="226">
        <f>H366</f>
        <v>8.859749999999998</v>
      </c>
      <c r="K366" s="227">
        <f>I366</f>
        <v>1774.94</v>
      </c>
      <c r="L366" s="228">
        <f t="shared" si="74"/>
        <v>0.004991577180073692</v>
      </c>
      <c r="M366" s="229">
        <v>288.2</v>
      </c>
      <c r="N366" s="229">
        <f t="shared" si="75"/>
        <v>1.4385725432972378</v>
      </c>
      <c r="O366" s="229">
        <f t="shared" si="76"/>
        <v>299.4946308044215</v>
      </c>
      <c r="P366" s="229">
        <f t="shared" si="77"/>
        <v>86.31435259783427</v>
      </c>
      <c r="Q366" s="11"/>
      <c r="R366" s="10"/>
      <c r="S366" s="10"/>
    </row>
    <row r="367" spans="1:19" s="9" customFormat="1" ht="12.75" customHeight="1">
      <c r="A367" s="180" t="s">
        <v>26</v>
      </c>
      <c r="B367" s="218" t="s">
        <v>438</v>
      </c>
      <c r="C367" s="219">
        <v>22</v>
      </c>
      <c r="D367" s="219">
        <v>1974</v>
      </c>
      <c r="E367" s="220">
        <f>SUM(F367:H367)</f>
        <v>9.655000000000001</v>
      </c>
      <c r="F367" s="220">
        <v>1.12707</v>
      </c>
      <c r="G367" s="220">
        <v>3.1984</v>
      </c>
      <c r="H367" s="220">
        <v>5.32953</v>
      </c>
      <c r="I367" s="221">
        <v>1064.69</v>
      </c>
      <c r="J367" s="220">
        <v>5.32953</v>
      </c>
      <c r="K367" s="221">
        <v>1064.69</v>
      </c>
      <c r="L367" s="222">
        <f t="shared" si="74"/>
        <v>0.0050057105824230525</v>
      </c>
      <c r="M367" s="223">
        <v>316.536</v>
      </c>
      <c r="N367" s="223">
        <f t="shared" si="75"/>
        <v>1.5844876049178633</v>
      </c>
      <c r="O367" s="223">
        <f t="shared" si="76"/>
        <v>300.34263494538317</v>
      </c>
      <c r="P367" s="223">
        <f t="shared" si="77"/>
        <v>95.06925629507181</v>
      </c>
      <c r="R367" s="10"/>
      <c r="S367" s="10"/>
    </row>
    <row r="368" spans="1:16" s="9" customFormat="1" ht="12.75" customHeight="1">
      <c r="A368" s="180"/>
      <c r="B368" s="82" t="s">
        <v>133</v>
      </c>
      <c r="C368" s="97">
        <v>143</v>
      </c>
      <c r="D368" s="97">
        <v>1980</v>
      </c>
      <c r="E368" s="83">
        <v>74.785</v>
      </c>
      <c r="F368" s="83">
        <v>23</v>
      </c>
      <c r="G368" s="83">
        <v>14</v>
      </c>
      <c r="H368" s="83">
        <f>E368-F368-G368</f>
        <v>37.785</v>
      </c>
      <c r="I368" s="84">
        <v>7547</v>
      </c>
      <c r="J368" s="83">
        <f>H368</f>
        <v>37.785</v>
      </c>
      <c r="K368" s="84">
        <f>I368</f>
        <v>7547</v>
      </c>
      <c r="L368" s="85">
        <f t="shared" si="74"/>
        <v>0.005006625149065853</v>
      </c>
      <c r="M368" s="86">
        <v>288.2</v>
      </c>
      <c r="N368" s="86">
        <f t="shared" si="75"/>
        <v>1.4429093679607787</v>
      </c>
      <c r="O368" s="86">
        <f t="shared" si="76"/>
        <v>300.39750894395115</v>
      </c>
      <c r="P368" s="86">
        <f t="shared" si="77"/>
        <v>86.57456207764673</v>
      </c>
    </row>
    <row r="369" spans="1:19" s="9" customFormat="1" ht="12.75" customHeight="1">
      <c r="A369" s="180"/>
      <c r="B369" s="113" t="s">
        <v>243</v>
      </c>
      <c r="C369" s="114">
        <v>36</v>
      </c>
      <c r="D369" s="97">
        <v>1988</v>
      </c>
      <c r="E369" s="83">
        <f>+F369+G369+H369</f>
        <v>16.094892</v>
      </c>
      <c r="F369" s="115">
        <v>2.825736</v>
      </c>
      <c r="G369" s="115">
        <v>5.76</v>
      </c>
      <c r="H369" s="115">
        <v>7.509156000000001</v>
      </c>
      <c r="I369" s="116">
        <v>1875.83</v>
      </c>
      <c r="J369" s="115">
        <v>7.509156000000001</v>
      </c>
      <c r="K369" s="116">
        <v>1494.8</v>
      </c>
      <c r="L369" s="85">
        <f>+J369/K369</f>
        <v>0.005023518865400054</v>
      </c>
      <c r="M369" s="86">
        <v>312.83</v>
      </c>
      <c r="N369" s="86">
        <f>+L369*M369</f>
        <v>1.5715074066630987</v>
      </c>
      <c r="O369" s="86">
        <f>+L369*60*1000</f>
        <v>301.41113192400326</v>
      </c>
      <c r="P369" s="86">
        <f>+N369*60</f>
        <v>94.29044439978593</v>
      </c>
      <c r="R369" s="10"/>
      <c r="S369" s="10"/>
    </row>
    <row r="370" spans="1:19" s="9" customFormat="1" ht="12.75" customHeight="1">
      <c r="A370" s="180"/>
      <c r="B370" s="82" t="s">
        <v>631</v>
      </c>
      <c r="C370" s="97">
        <v>40</v>
      </c>
      <c r="D370" s="97" t="s">
        <v>31</v>
      </c>
      <c r="E370" s="83">
        <f>SUM(F370:H370)</f>
        <v>23.2</v>
      </c>
      <c r="F370" s="83">
        <v>4</v>
      </c>
      <c r="G370" s="83">
        <v>6.5</v>
      </c>
      <c r="H370" s="83">
        <v>12.7</v>
      </c>
      <c r="I370" s="84">
        <v>2512.91</v>
      </c>
      <c r="J370" s="83">
        <v>12.7</v>
      </c>
      <c r="K370" s="84">
        <v>2512.91</v>
      </c>
      <c r="L370" s="157">
        <f>J370/K370</f>
        <v>0.005053901651869744</v>
      </c>
      <c r="M370" s="158">
        <v>209.8</v>
      </c>
      <c r="N370" s="159">
        <f>L370*M370</f>
        <v>1.0603085665622725</v>
      </c>
      <c r="O370" s="159">
        <f>L370*60*1000</f>
        <v>303.2340991121847</v>
      </c>
      <c r="P370" s="159">
        <f>O370*M370/1000</f>
        <v>63.61851399373636</v>
      </c>
      <c r="R370" s="10"/>
      <c r="S370" s="10"/>
    </row>
    <row r="371" spans="1:19" s="9" customFormat="1" ht="12.75" customHeight="1">
      <c r="A371" s="180"/>
      <c r="B371" s="82" t="s">
        <v>729</v>
      </c>
      <c r="C371" s="97">
        <v>22</v>
      </c>
      <c r="D371" s="97">
        <v>1980</v>
      </c>
      <c r="E371" s="83">
        <v>11.767</v>
      </c>
      <c r="F371" s="83">
        <v>2.239</v>
      </c>
      <c r="G371" s="83">
        <v>3.52</v>
      </c>
      <c r="H371" s="83">
        <v>6.007</v>
      </c>
      <c r="I371" s="84">
        <v>1187</v>
      </c>
      <c r="J371" s="83">
        <v>6.007</v>
      </c>
      <c r="K371" s="84">
        <v>1187</v>
      </c>
      <c r="L371" s="85">
        <f>J371/K371</f>
        <v>0.005060657118786858</v>
      </c>
      <c r="M371" s="86">
        <v>194.3</v>
      </c>
      <c r="N371" s="86">
        <f>L371*M371</f>
        <v>0.9832856781802864</v>
      </c>
      <c r="O371" s="86">
        <f>L371*60*1000</f>
        <v>303.6394271272115</v>
      </c>
      <c r="P371" s="86">
        <f>O371*M371/1000</f>
        <v>58.9971406908172</v>
      </c>
      <c r="R371" s="10"/>
      <c r="S371" s="10"/>
    </row>
    <row r="372" spans="1:19" s="9" customFormat="1" ht="12.75" customHeight="1">
      <c r="A372" s="180"/>
      <c r="B372" s="113" t="s">
        <v>244</v>
      </c>
      <c r="C372" s="114">
        <v>4</v>
      </c>
      <c r="D372" s="97">
        <v>1987</v>
      </c>
      <c r="E372" s="83">
        <f>+F372+G372+H372</f>
        <v>1.650125</v>
      </c>
      <c r="F372" s="115">
        <v>0.10732</v>
      </c>
      <c r="G372" s="115">
        <v>0.64</v>
      </c>
      <c r="H372" s="115">
        <v>0.9028050000000001</v>
      </c>
      <c r="I372" s="116">
        <v>547.57</v>
      </c>
      <c r="J372" s="115">
        <v>0.9028050000000001</v>
      </c>
      <c r="K372" s="116">
        <v>176.74</v>
      </c>
      <c r="L372" s="85">
        <f>+J372/K372</f>
        <v>0.005108096639130927</v>
      </c>
      <c r="M372" s="86">
        <v>312.83</v>
      </c>
      <c r="N372" s="86">
        <f>+L372*M372</f>
        <v>1.597965871619328</v>
      </c>
      <c r="O372" s="86">
        <f>+L372*60*1000</f>
        <v>306.4857983478557</v>
      </c>
      <c r="P372" s="86">
        <f>+N372*60</f>
        <v>95.87795229715968</v>
      </c>
      <c r="R372" s="10"/>
      <c r="S372" s="10"/>
    </row>
    <row r="373" spans="1:19" s="9" customFormat="1" ht="13.5" customHeight="1">
      <c r="A373" s="180"/>
      <c r="B373" s="82" t="s">
        <v>774</v>
      </c>
      <c r="C373" s="97">
        <v>75</v>
      </c>
      <c r="D373" s="97" t="s">
        <v>534</v>
      </c>
      <c r="E373" s="83">
        <f>+F373+G373+H373</f>
        <v>39.4</v>
      </c>
      <c r="F373" s="83">
        <v>7.33</v>
      </c>
      <c r="G373" s="83">
        <v>11.6</v>
      </c>
      <c r="H373" s="83">
        <v>20.47</v>
      </c>
      <c r="I373" s="84">
        <v>3993.36</v>
      </c>
      <c r="J373" s="83">
        <v>20.47</v>
      </c>
      <c r="K373" s="84">
        <v>3993.36</v>
      </c>
      <c r="L373" s="85">
        <f>J373/K373</f>
        <v>0.005126009175230883</v>
      </c>
      <c r="M373" s="86">
        <v>276.9</v>
      </c>
      <c r="N373" s="86">
        <f>L373*M373</f>
        <v>1.4193919406214313</v>
      </c>
      <c r="O373" s="86">
        <f>L373*60*1000</f>
        <v>307.56055051385295</v>
      </c>
      <c r="P373" s="86">
        <f>O373*M373/1000</f>
        <v>85.16351643728586</v>
      </c>
      <c r="Q373" s="11"/>
      <c r="R373" s="10"/>
      <c r="S373" s="10"/>
    </row>
    <row r="374" spans="1:19" s="9" customFormat="1" ht="13.5" customHeight="1">
      <c r="A374" s="180"/>
      <c r="B374" s="113" t="s">
        <v>245</v>
      </c>
      <c r="C374" s="114">
        <v>36</v>
      </c>
      <c r="D374" s="97">
        <v>1980</v>
      </c>
      <c r="E374" s="83">
        <f>+F374+G374+H374</f>
        <v>10.832</v>
      </c>
      <c r="F374" s="115">
        <v>2.779588</v>
      </c>
      <c r="G374" s="115">
        <v>1.5</v>
      </c>
      <c r="H374" s="115">
        <v>6.552412</v>
      </c>
      <c r="I374" s="116">
        <v>1275.52</v>
      </c>
      <c r="J374" s="115">
        <v>6.552412</v>
      </c>
      <c r="K374" s="116">
        <v>1275.52</v>
      </c>
      <c r="L374" s="85">
        <f>+J374/K374</f>
        <v>0.005137051555444055</v>
      </c>
      <c r="M374" s="86">
        <v>312.83</v>
      </c>
      <c r="N374" s="86">
        <f>+L374*M374</f>
        <v>1.6070238380895636</v>
      </c>
      <c r="O374" s="86">
        <f>+L374*60*1000</f>
        <v>308.22309332664327</v>
      </c>
      <c r="P374" s="86">
        <f>+N374*60</f>
        <v>96.42143028537382</v>
      </c>
      <c r="R374" s="10"/>
      <c r="S374" s="10"/>
    </row>
    <row r="375" spans="1:19" s="9" customFormat="1" ht="12.75" customHeight="1">
      <c r="A375" s="180"/>
      <c r="B375" s="82" t="s">
        <v>632</v>
      </c>
      <c r="C375" s="97">
        <v>80</v>
      </c>
      <c r="D375" s="97" t="s">
        <v>31</v>
      </c>
      <c r="E375" s="83">
        <f>SUM(F375:H375)</f>
        <v>39.2</v>
      </c>
      <c r="F375" s="83">
        <v>5.9</v>
      </c>
      <c r="G375" s="83">
        <v>13</v>
      </c>
      <c r="H375" s="83">
        <v>20.3</v>
      </c>
      <c r="I375" s="84">
        <v>3925.41</v>
      </c>
      <c r="J375" s="83">
        <v>18.9</v>
      </c>
      <c r="K375" s="84">
        <v>3670.74</v>
      </c>
      <c r="L375" s="157">
        <f>J375/K375</f>
        <v>0.005148825577404011</v>
      </c>
      <c r="M375" s="158">
        <v>209.8</v>
      </c>
      <c r="N375" s="159">
        <f>L375*M375</f>
        <v>1.0802236061393615</v>
      </c>
      <c r="O375" s="159">
        <f>L375*60*1000</f>
        <v>308.9295346442407</v>
      </c>
      <c r="P375" s="159">
        <f>O375*M375/1000</f>
        <v>64.8134163683617</v>
      </c>
      <c r="R375" s="10"/>
      <c r="S375" s="10"/>
    </row>
    <row r="376" spans="1:19" s="9" customFormat="1" ht="12.75">
      <c r="A376" s="180"/>
      <c r="B376" s="82" t="s">
        <v>439</v>
      </c>
      <c r="C376" s="97">
        <v>24</v>
      </c>
      <c r="D376" s="97">
        <v>1964</v>
      </c>
      <c r="E376" s="83">
        <f>SUM(F376:H376)</f>
        <v>5.763</v>
      </c>
      <c r="F376" s="83"/>
      <c r="G376" s="83"/>
      <c r="H376" s="83">
        <v>5.763</v>
      </c>
      <c r="I376" s="84">
        <v>1103</v>
      </c>
      <c r="J376" s="83">
        <v>5.763</v>
      </c>
      <c r="K376" s="84">
        <v>1103</v>
      </c>
      <c r="L376" s="85">
        <f>J376/K376</f>
        <v>0.005224841341795104</v>
      </c>
      <c r="M376" s="86">
        <v>316.536</v>
      </c>
      <c r="N376" s="86">
        <f>L376*M376</f>
        <v>1.6538503789664551</v>
      </c>
      <c r="O376" s="86">
        <f>L376*60*1000</f>
        <v>313.4904805077063</v>
      </c>
      <c r="P376" s="86">
        <f>O376*M376/1000</f>
        <v>99.23102273798733</v>
      </c>
      <c r="R376" s="10"/>
      <c r="S376" s="10"/>
    </row>
    <row r="377" spans="1:19" s="9" customFormat="1" ht="12.75">
      <c r="A377" s="180"/>
      <c r="B377" s="82" t="s">
        <v>819</v>
      </c>
      <c r="C377" s="97">
        <v>16</v>
      </c>
      <c r="D377" s="97">
        <v>1991</v>
      </c>
      <c r="E377" s="83">
        <f>SUM(F377+G377+H377)</f>
        <v>10.4</v>
      </c>
      <c r="F377" s="83">
        <v>2.2</v>
      </c>
      <c r="G377" s="83">
        <v>2.6</v>
      </c>
      <c r="H377" s="83">
        <v>5.6</v>
      </c>
      <c r="I377" s="84">
        <v>1070.04</v>
      </c>
      <c r="J377" s="83">
        <v>5.6</v>
      </c>
      <c r="K377" s="84">
        <v>1070.04</v>
      </c>
      <c r="L377" s="85">
        <f>SUM(J377/K377)</f>
        <v>0.005233449216851706</v>
      </c>
      <c r="M377" s="86">
        <v>214.3</v>
      </c>
      <c r="N377" s="86">
        <f>SUM(L377*M377)</f>
        <v>1.1215281671713206</v>
      </c>
      <c r="O377" s="86">
        <f>L377*60*1000</f>
        <v>314.0069530111024</v>
      </c>
      <c r="P377" s="86">
        <f>SUM(N377*60)</f>
        <v>67.29169003027924</v>
      </c>
      <c r="R377" s="10"/>
      <c r="S377" s="10"/>
    </row>
    <row r="378" spans="1:19" s="9" customFormat="1" ht="12.75">
      <c r="A378" s="180"/>
      <c r="B378" s="82" t="s">
        <v>134</v>
      </c>
      <c r="C378" s="97">
        <v>71</v>
      </c>
      <c r="D378" s="97">
        <v>1978</v>
      </c>
      <c r="E378" s="83">
        <v>17.1</v>
      </c>
      <c r="F378" s="83">
        <v>6.19295</v>
      </c>
      <c r="G378" s="83"/>
      <c r="H378" s="83">
        <f>E378-F378-G378</f>
        <v>10.907050000000002</v>
      </c>
      <c r="I378" s="84">
        <v>2078.1</v>
      </c>
      <c r="J378" s="83">
        <f>H378</f>
        <v>10.907050000000002</v>
      </c>
      <c r="K378" s="84">
        <f>I378</f>
        <v>2078.1</v>
      </c>
      <c r="L378" s="85">
        <f aca="true" t="shared" si="78" ref="L378:L385">J378/K378</f>
        <v>0.005248568403830423</v>
      </c>
      <c r="M378" s="86">
        <v>288.2</v>
      </c>
      <c r="N378" s="86">
        <f aca="true" t="shared" si="79" ref="N378:N385">L378*M378</f>
        <v>1.512637413983928</v>
      </c>
      <c r="O378" s="86">
        <f>L378*60*1000</f>
        <v>314.9141042298254</v>
      </c>
      <c r="P378" s="86">
        <f>O378*M378/1000</f>
        <v>90.75824483903567</v>
      </c>
      <c r="R378" s="10"/>
      <c r="S378" s="10"/>
    </row>
    <row r="379" spans="1:19" s="9" customFormat="1" ht="12.75">
      <c r="A379" s="180"/>
      <c r="B379" s="82" t="s">
        <v>697</v>
      </c>
      <c r="C379" s="97">
        <v>48</v>
      </c>
      <c r="D379" s="97"/>
      <c r="E379" s="83">
        <v>24.9</v>
      </c>
      <c r="F379" s="83">
        <v>4.9</v>
      </c>
      <c r="G379" s="83">
        <v>7.5</v>
      </c>
      <c r="H379" s="83">
        <v>12.1</v>
      </c>
      <c r="I379" s="126"/>
      <c r="J379" s="83">
        <v>12.1</v>
      </c>
      <c r="K379" s="84">
        <v>2297</v>
      </c>
      <c r="L379" s="85">
        <f t="shared" si="78"/>
        <v>0.005267740531127558</v>
      </c>
      <c r="M379" s="86">
        <v>234.1</v>
      </c>
      <c r="N379" s="86">
        <f t="shared" si="79"/>
        <v>1.2331780583369611</v>
      </c>
      <c r="O379" s="86">
        <f>L379*60*1000</f>
        <v>316.06443186765347</v>
      </c>
      <c r="P379" s="86">
        <f>O379*M379/1000</f>
        <v>73.99068350021768</v>
      </c>
      <c r="R379" s="10"/>
      <c r="S379" s="10"/>
    </row>
    <row r="380" spans="1:19" s="9" customFormat="1" ht="12.75">
      <c r="A380" s="180"/>
      <c r="B380" s="82" t="s">
        <v>582</v>
      </c>
      <c r="C380" s="97">
        <v>50</v>
      </c>
      <c r="D380" s="97">
        <v>1975</v>
      </c>
      <c r="E380" s="83">
        <v>24.9</v>
      </c>
      <c r="F380" s="83">
        <v>4.029</v>
      </c>
      <c r="G380" s="83">
        <v>7.68</v>
      </c>
      <c r="H380" s="83">
        <f>E380-F380-G380</f>
        <v>13.190999999999999</v>
      </c>
      <c r="I380" s="84">
        <v>2485.16</v>
      </c>
      <c r="J380" s="83">
        <v>13.191</v>
      </c>
      <c r="K380" s="84">
        <v>2485.16</v>
      </c>
      <c r="L380" s="85">
        <f t="shared" si="78"/>
        <v>0.005307907740346699</v>
      </c>
      <c r="M380" s="86">
        <v>243.179</v>
      </c>
      <c r="N380" s="86">
        <f t="shared" si="79"/>
        <v>1.2907716963897697</v>
      </c>
      <c r="O380" s="86">
        <f>L380*1000*60</f>
        <v>318.47446442080195</v>
      </c>
      <c r="P380" s="86">
        <f>N380*60</f>
        <v>77.44630178338619</v>
      </c>
      <c r="R380" s="10"/>
      <c r="S380" s="10"/>
    </row>
    <row r="381" spans="1:19" s="9" customFormat="1" ht="12.75">
      <c r="A381" s="180"/>
      <c r="B381" s="82" t="s">
        <v>881</v>
      </c>
      <c r="C381" s="97">
        <v>9</v>
      </c>
      <c r="D381" s="97">
        <v>1990</v>
      </c>
      <c r="E381" s="83">
        <f>F381+G381+H381</f>
        <v>4.715</v>
      </c>
      <c r="F381" s="83">
        <v>0.80477</v>
      </c>
      <c r="G381" s="83">
        <v>1.44</v>
      </c>
      <c r="H381" s="83">
        <v>2.47023</v>
      </c>
      <c r="I381" s="84">
        <v>464.1</v>
      </c>
      <c r="J381" s="83">
        <f>H381</f>
        <v>2.47023</v>
      </c>
      <c r="K381" s="84">
        <f>I381</f>
        <v>464.1</v>
      </c>
      <c r="L381" s="85">
        <f t="shared" si="78"/>
        <v>0.00532262443438914</v>
      </c>
      <c r="M381" s="86">
        <f>337.7*1.09</f>
        <v>368.093</v>
      </c>
      <c r="N381" s="86">
        <f t="shared" si="79"/>
        <v>1.9592207959276018</v>
      </c>
      <c r="O381" s="86">
        <f aca="true" t="shared" si="80" ref="O381:O392">L381*60*1000</f>
        <v>319.3574660633484</v>
      </c>
      <c r="P381" s="86">
        <f>O381*M381/1000</f>
        <v>117.5532477556561</v>
      </c>
      <c r="R381" s="10"/>
      <c r="S381" s="10"/>
    </row>
    <row r="382" spans="1:19" s="9" customFormat="1" ht="12.75">
      <c r="A382" s="180"/>
      <c r="B382" s="82" t="s">
        <v>633</v>
      </c>
      <c r="C382" s="97">
        <v>45</v>
      </c>
      <c r="D382" s="97" t="s">
        <v>31</v>
      </c>
      <c r="E382" s="83">
        <f>SUM(F382:H382)</f>
        <v>25.1</v>
      </c>
      <c r="F382" s="83">
        <v>5</v>
      </c>
      <c r="G382" s="83">
        <v>7.3</v>
      </c>
      <c r="H382" s="83">
        <v>12.8</v>
      </c>
      <c r="I382" s="84">
        <v>2356.23</v>
      </c>
      <c r="J382" s="83">
        <v>12.8</v>
      </c>
      <c r="K382" s="84">
        <v>2356.23</v>
      </c>
      <c r="L382" s="157">
        <f t="shared" si="78"/>
        <v>0.0054324068533207715</v>
      </c>
      <c r="M382" s="158">
        <v>209.8</v>
      </c>
      <c r="N382" s="159">
        <f t="shared" si="79"/>
        <v>1.139718957826698</v>
      </c>
      <c r="O382" s="159">
        <f t="shared" si="80"/>
        <v>325.9444111992463</v>
      </c>
      <c r="P382" s="159">
        <f>O382*M382/1000</f>
        <v>68.38313746960188</v>
      </c>
      <c r="R382" s="10"/>
      <c r="S382" s="10"/>
    </row>
    <row r="383" spans="1:19" s="9" customFormat="1" ht="12.75">
      <c r="A383" s="180"/>
      <c r="B383" s="82" t="s">
        <v>745</v>
      </c>
      <c r="C383" s="97">
        <v>22</v>
      </c>
      <c r="D383" s="97" t="s">
        <v>31</v>
      </c>
      <c r="E383" s="83">
        <f>F383+G383+H383</f>
        <v>12.95</v>
      </c>
      <c r="F383" s="83">
        <v>2.81</v>
      </c>
      <c r="G383" s="83">
        <v>3.52</v>
      </c>
      <c r="H383" s="83">
        <v>6.62</v>
      </c>
      <c r="I383" s="84">
        <v>1217.03</v>
      </c>
      <c r="J383" s="83">
        <v>6.62</v>
      </c>
      <c r="K383" s="84">
        <v>1217.03</v>
      </c>
      <c r="L383" s="85">
        <f t="shared" si="78"/>
        <v>0.005439471500291694</v>
      </c>
      <c r="M383" s="86">
        <v>361.99</v>
      </c>
      <c r="N383" s="86">
        <f t="shared" si="79"/>
        <v>1.9690342883905902</v>
      </c>
      <c r="O383" s="86">
        <f t="shared" si="80"/>
        <v>326.36829001750164</v>
      </c>
      <c r="P383" s="86">
        <f>O383*M383/1000</f>
        <v>118.14205730343542</v>
      </c>
      <c r="R383" s="10"/>
      <c r="S383" s="10"/>
    </row>
    <row r="384" spans="1:19" s="9" customFormat="1" ht="12.75">
      <c r="A384" s="180"/>
      <c r="B384" s="82" t="s">
        <v>746</v>
      </c>
      <c r="C384" s="97">
        <v>24</v>
      </c>
      <c r="D384" s="97" t="s">
        <v>31</v>
      </c>
      <c r="E384" s="83">
        <f>F384+G384+H384</f>
        <v>11.978</v>
      </c>
      <c r="F384" s="83">
        <v>1.297</v>
      </c>
      <c r="G384" s="83">
        <v>3.92</v>
      </c>
      <c r="H384" s="83">
        <v>6.761</v>
      </c>
      <c r="I384" s="84">
        <v>1242.07</v>
      </c>
      <c r="J384" s="83">
        <v>4.914</v>
      </c>
      <c r="K384" s="84">
        <v>903.24</v>
      </c>
      <c r="L384" s="85">
        <f t="shared" si="78"/>
        <v>0.00544041450777202</v>
      </c>
      <c r="M384" s="86">
        <v>361.99</v>
      </c>
      <c r="N384" s="86">
        <f t="shared" si="79"/>
        <v>1.9693756476683935</v>
      </c>
      <c r="O384" s="86">
        <f t="shared" si="80"/>
        <v>326.4248704663212</v>
      </c>
      <c r="P384" s="86">
        <f>O384*M384/1000</f>
        <v>118.16253886010361</v>
      </c>
      <c r="Q384" s="11"/>
      <c r="R384" s="10"/>
      <c r="S384" s="10"/>
    </row>
    <row r="385" spans="1:19" s="9" customFormat="1" ht="12.75" customHeight="1">
      <c r="A385" s="180"/>
      <c r="B385" s="95" t="s">
        <v>169</v>
      </c>
      <c r="C385" s="96">
        <v>70</v>
      </c>
      <c r="D385" s="97" t="s">
        <v>31</v>
      </c>
      <c r="E385" s="98">
        <v>25.53</v>
      </c>
      <c r="F385" s="98">
        <v>8.18</v>
      </c>
      <c r="G385" s="98">
        <v>0.68</v>
      </c>
      <c r="H385" s="98">
        <v>16.67</v>
      </c>
      <c r="I385" s="96">
        <v>3063.74</v>
      </c>
      <c r="J385" s="98">
        <v>16.67</v>
      </c>
      <c r="K385" s="96">
        <v>3063.74</v>
      </c>
      <c r="L385" s="85">
        <f t="shared" si="78"/>
        <v>0.0054410622311292746</v>
      </c>
      <c r="M385" s="86">
        <v>256</v>
      </c>
      <c r="N385" s="86">
        <f t="shared" si="79"/>
        <v>1.3929119311690943</v>
      </c>
      <c r="O385" s="86">
        <f t="shared" si="80"/>
        <v>326.46373386775645</v>
      </c>
      <c r="P385" s="86">
        <f>O385*M385/1000</f>
        <v>83.57471587014565</v>
      </c>
      <c r="Q385" s="11"/>
      <c r="R385" s="10"/>
      <c r="S385" s="10"/>
    </row>
    <row r="386" spans="1:19" s="9" customFormat="1" ht="12.75">
      <c r="A386" s="180"/>
      <c r="B386" s="82" t="s">
        <v>820</v>
      </c>
      <c r="C386" s="97">
        <v>40</v>
      </c>
      <c r="D386" s="97">
        <v>1980</v>
      </c>
      <c r="E386" s="83">
        <f>SUM(F386+G386+H386)</f>
        <v>21.700000000000003</v>
      </c>
      <c r="F386" s="83">
        <v>2.7</v>
      </c>
      <c r="G386" s="83">
        <v>6.4</v>
      </c>
      <c r="H386" s="83">
        <v>12.6</v>
      </c>
      <c r="I386" s="84">
        <v>2313.6</v>
      </c>
      <c r="J386" s="83">
        <v>12.6</v>
      </c>
      <c r="K386" s="84">
        <v>2313.6</v>
      </c>
      <c r="L386" s="85">
        <f>SUM(J386/K386)</f>
        <v>0.005446058091286307</v>
      </c>
      <c r="M386" s="86">
        <v>214.3</v>
      </c>
      <c r="N386" s="86">
        <f>SUM(L386*M386)</f>
        <v>1.1670902489626556</v>
      </c>
      <c r="O386" s="86">
        <f t="shared" si="80"/>
        <v>326.76348547717845</v>
      </c>
      <c r="P386" s="86">
        <f>SUM(N386*60)</f>
        <v>70.02541493775934</v>
      </c>
      <c r="R386" s="10"/>
      <c r="S386" s="10"/>
    </row>
    <row r="387" spans="1:19" s="9" customFormat="1" ht="12.75">
      <c r="A387" s="180"/>
      <c r="B387" s="82" t="s">
        <v>747</v>
      </c>
      <c r="C387" s="97">
        <v>22</v>
      </c>
      <c r="D387" s="97" t="s">
        <v>31</v>
      </c>
      <c r="E387" s="83">
        <f>F387+G387+H387</f>
        <v>10.841000000000001</v>
      </c>
      <c r="F387" s="83">
        <v>0.996</v>
      </c>
      <c r="G387" s="83">
        <v>3.52</v>
      </c>
      <c r="H387" s="83">
        <v>6.325</v>
      </c>
      <c r="I387" s="84">
        <v>1161.06</v>
      </c>
      <c r="J387" s="83">
        <v>6.325</v>
      </c>
      <c r="K387" s="84">
        <v>1161.06</v>
      </c>
      <c r="L387" s="85">
        <f aca="true" t="shared" si="81" ref="L387:L392">J387/K387</f>
        <v>0.005447608220074759</v>
      </c>
      <c r="M387" s="86">
        <v>361.99</v>
      </c>
      <c r="N387" s="86">
        <f aca="true" t="shared" si="82" ref="N387:N392">L387*M387</f>
        <v>1.9719796995848622</v>
      </c>
      <c r="O387" s="86">
        <f t="shared" si="80"/>
        <v>326.85649320448556</v>
      </c>
      <c r="P387" s="86">
        <f aca="true" t="shared" si="83" ref="P387:P392">O387*M387/1000</f>
        <v>118.31878197509172</v>
      </c>
      <c r="R387" s="10"/>
      <c r="S387" s="10"/>
    </row>
    <row r="388" spans="1:19" s="9" customFormat="1" ht="12.75">
      <c r="A388" s="180"/>
      <c r="B388" s="82" t="s">
        <v>440</v>
      </c>
      <c r="C388" s="97">
        <v>13</v>
      </c>
      <c r="D388" s="97">
        <v>1959</v>
      </c>
      <c r="E388" s="83">
        <f>SUM(F388:H388)</f>
        <v>3.068</v>
      </c>
      <c r="F388" s="83"/>
      <c r="G388" s="83"/>
      <c r="H388" s="83">
        <v>3.068</v>
      </c>
      <c r="I388" s="84">
        <v>562.28</v>
      </c>
      <c r="J388" s="83">
        <v>3.068</v>
      </c>
      <c r="K388" s="84">
        <v>562.28</v>
      </c>
      <c r="L388" s="85">
        <f t="shared" si="81"/>
        <v>0.005456356263783169</v>
      </c>
      <c r="M388" s="86">
        <v>316.536</v>
      </c>
      <c r="N388" s="86">
        <f t="shared" si="82"/>
        <v>1.7271331863128692</v>
      </c>
      <c r="O388" s="86">
        <f t="shared" si="80"/>
        <v>327.3813758269901</v>
      </c>
      <c r="P388" s="86">
        <f t="shared" si="83"/>
        <v>103.62799117877213</v>
      </c>
      <c r="R388" s="10"/>
      <c r="S388" s="10"/>
    </row>
    <row r="389" spans="1:19" s="9" customFormat="1" ht="12.75">
      <c r="A389" s="180"/>
      <c r="B389" s="132" t="s">
        <v>166</v>
      </c>
      <c r="C389" s="96">
        <v>88</v>
      </c>
      <c r="D389" s="97">
        <v>2007</v>
      </c>
      <c r="E389" s="98">
        <v>34.514</v>
      </c>
      <c r="F389" s="98">
        <v>0</v>
      </c>
      <c r="G389" s="98">
        <v>0</v>
      </c>
      <c r="H389" s="98">
        <v>34.514</v>
      </c>
      <c r="I389" s="96">
        <v>6315.31</v>
      </c>
      <c r="J389" s="98">
        <v>34.514</v>
      </c>
      <c r="K389" s="96">
        <v>6315.31</v>
      </c>
      <c r="L389" s="85">
        <f t="shared" si="81"/>
        <v>0.005465131561237691</v>
      </c>
      <c r="M389" s="86">
        <v>256</v>
      </c>
      <c r="N389" s="86">
        <f t="shared" si="82"/>
        <v>1.3990736796768488</v>
      </c>
      <c r="O389" s="86">
        <f t="shared" si="80"/>
        <v>327.90789367426146</v>
      </c>
      <c r="P389" s="86">
        <f t="shared" si="83"/>
        <v>83.94442078061094</v>
      </c>
      <c r="R389" s="10"/>
      <c r="S389" s="10"/>
    </row>
    <row r="390" spans="1:19" s="9" customFormat="1" ht="12.75">
      <c r="A390" s="180"/>
      <c r="B390" s="82" t="s">
        <v>748</v>
      </c>
      <c r="C390" s="97">
        <v>8</v>
      </c>
      <c r="D390" s="97" t="s">
        <v>31</v>
      </c>
      <c r="E390" s="83">
        <f>F390+G390+H390</f>
        <v>3.11</v>
      </c>
      <c r="F390" s="83">
        <v>0.746</v>
      </c>
      <c r="G390" s="83">
        <v>0.08</v>
      </c>
      <c r="H390" s="83">
        <v>2.284</v>
      </c>
      <c r="I390" s="84">
        <v>417.55</v>
      </c>
      <c r="J390" s="83">
        <v>2.284</v>
      </c>
      <c r="K390" s="84">
        <v>417.55</v>
      </c>
      <c r="L390" s="85">
        <f t="shared" si="81"/>
        <v>0.005470003592384145</v>
      </c>
      <c r="M390" s="86">
        <v>361.99</v>
      </c>
      <c r="N390" s="86">
        <f t="shared" si="82"/>
        <v>1.980086600407137</v>
      </c>
      <c r="O390" s="86">
        <f t="shared" si="80"/>
        <v>328.2002155430487</v>
      </c>
      <c r="P390" s="86">
        <f t="shared" si="83"/>
        <v>118.80519602442821</v>
      </c>
      <c r="R390" s="10"/>
      <c r="S390" s="10"/>
    </row>
    <row r="391" spans="1:19" s="9" customFormat="1" ht="12.75">
      <c r="A391" s="180"/>
      <c r="B391" s="82" t="s">
        <v>698</v>
      </c>
      <c r="C391" s="97">
        <v>60</v>
      </c>
      <c r="D391" s="97"/>
      <c r="E391" s="83">
        <v>28.9</v>
      </c>
      <c r="F391" s="83">
        <v>4</v>
      </c>
      <c r="G391" s="83">
        <v>9.6</v>
      </c>
      <c r="H391" s="83">
        <v>14.9</v>
      </c>
      <c r="I391" s="126"/>
      <c r="J391" s="83">
        <v>14.9</v>
      </c>
      <c r="K391" s="84">
        <v>2723</v>
      </c>
      <c r="L391" s="85">
        <f t="shared" si="81"/>
        <v>0.005471905986044804</v>
      </c>
      <c r="M391" s="86">
        <v>234.1</v>
      </c>
      <c r="N391" s="86">
        <f t="shared" si="82"/>
        <v>1.2809731913330886</v>
      </c>
      <c r="O391" s="86">
        <f t="shared" si="80"/>
        <v>328.3143591626883</v>
      </c>
      <c r="P391" s="86">
        <f t="shared" si="83"/>
        <v>76.85839147998533</v>
      </c>
      <c r="R391" s="10"/>
      <c r="S391" s="10"/>
    </row>
    <row r="392" spans="1:19" s="9" customFormat="1" ht="12.75">
      <c r="A392" s="180"/>
      <c r="B392" s="82" t="s">
        <v>441</v>
      </c>
      <c r="C392" s="97">
        <v>24</v>
      </c>
      <c r="D392" s="97">
        <v>1968</v>
      </c>
      <c r="E392" s="83">
        <f>SUM(F392:H392)</f>
        <v>5.538</v>
      </c>
      <c r="F392" s="83"/>
      <c r="G392" s="83"/>
      <c r="H392" s="83">
        <v>5.538</v>
      </c>
      <c r="I392" s="84">
        <v>1012.02</v>
      </c>
      <c r="J392" s="83">
        <v>5.538</v>
      </c>
      <c r="K392" s="84">
        <v>1012.02</v>
      </c>
      <c r="L392" s="85">
        <f t="shared" si="81"/>
        <v>0.005472223869093497</v>
      </c>
      <c r="M392" s="86">
        <v>316.536</v>
      </c>
      <c r="N392" s="86">
        <f t="shared" si="82"/>
        <v>1.7321558546273792</v>
      </c>
      <c r="O392" s="86">
        <f t="shared" si="80"/>
        <v>328.33343214560983</v>
      </c>
      <c r="P392" s="86">
        <f t="shared" si="83"/>
        <v>103.92935127764275</v>
      </c>
      <c r="R392" s="10"/>
      <c r="S392" s="10"/>
    </row>
    <row r="393" spans="1:19" s="9" customFormat="1" ht="12.75">
      <c r="A393" s="180"/>
      <c r="B393" s="113" t="s">
        <v>246</v>
      </c>
      <c r="C393" s="114">
        <v>21</v>
      </c>
      <c r="D393" s="97">
        <v>1986</v>
      </c>
      <c r="E393" s="83">
        <f>+F393+G393+H393</f>
        <v>10.886000000000001</v>
      </c>
      <c r="F393" s="98">
        <v>1.71712</v>
      </c>
      <c r="G393" s="98">
        <v>3.2</v>
      </c>
      <c r="H393" s="98">
        <v>5.96888</v>
      </c>
      <c r="I393" s="116">
        <v>1090.65</v>
      </c>
      <c r="J393" s="98">
        <v>5.96888</v>
      </c>
      <c r="K393" s="116">
        <v>1090.65</v>
      </c>
      <c r="L393" s="85">
        <f>+J393/K393</f>
        <v>0.005472773116948608</v>
      </c>
      <c r="M393" s="86">
        <v>312.83</v>
      </c>
      <c r="N393" s="86">
        <f>+L393*M393</f>
        <v>1.712047614175033</v>
      </c>
      <c r="O393" s="86">
        <f>+L393*60*1000</f>
        <v>328.3663870169165</v>
      </c>
      <c r="P393" s="86">
        <f>+N393*60</f>
        <v>102.72285685050197</v>
      </c>
      <c r="R393" s="10"/>
      <c r="S393" s="10"/>
    </row>
    <row r="394" spans="1:16" s="9" customFormat="1" ht="12.75" customHeight="1">
      <c r="A394" s="180"/>
      <c r="B394" s="82" t="s">
        <v>749</v>
      </c>
      <c r="C394" s="97">
        <v>50</v>
      </c>
      <c r="D394" s="97" t="s">
        <v>31</v>
      </c>
      <c r="E394" s="83">
        <f>F394+G394+H394</f>
        <v>26.326</v>
      </c>
      <c r="F394" s="83">
        <v>4.376</v>
      </c>
      <c r="G394" s="83">
        <v>8</v>
      </c>
      <c r="H394" s="83">
        <v>13.95</v>
      </c>
      <c r="I394" s="84">
        <v>2547.77</v>
      </c>
      <c r="J394" s="83">
        <v>13.95</v>
      </c>
      <c r="K394" s="84">
        <v>2547.77</v>
      </c>
      <c r="L394" s="85">
        <f>J394/K394</f>
        <v>0.005475376505728539</v>
      </c>
      <c r="M394" s="86">
        <v>361.99</v>
      </c>
      <c r="N394" s="86">
        <f>L394*M394</f>
        <v>1.9820315413086738</v>
      </c>
      <c r="O394" s="86">
        <f>L394*60*1000</f>
        <v>328.52259034371235</v>
      </c>
      <c r="P394" s="86">
        <f>O394*M394/1000</f>
        <v>118.92189247852045</v>
      </c>
    </row>
    <row r="395" spans="1:25" s="9" customFormat="1" ht="12.75" customHeight="1">
      <c r="A395" s="180"/>
      <c r="B395" s="113" t="s">
        <v>247</v>
      </c>
      <c r="C395" s="114">
        <v>20</v>
      </c>
      <c r="D395" s="97">
        <v>1993</v>
      </c>
      <c r="E395" s="83">
        <f>+F395+G395+H395</f>
        <v>10.931799999999999</v>
      </c>
      <c r="F395" s="115">
        <v>1.6634600000000002</v>
      </c>
      <c r="G395" s="115">
        <v>3.2</v>
      </c>
      <c r="H395" s="115">
        <v>6.068339999999999</v>
      </c>
      <c r="I395" s="116">
        <v>1104.7</v>
      </c>
      <c r="J395" s="115">
        <v>6.068339999999999</v>
      </c>
      <c r="K395" s="116">
        <v>1104.7</v>
      </c>
      <c r="L395" s="85">
        <f>+J395/K395</f>
        <v>0.005493201774237348</v>
      </c>
      <c r="M395" s="86">
        <v>312.83</v>
      </c>
      <c r="N395" s="86">
        <f>+L395*M395</f>
        <v>1.7184383110346697</v>
      </c>
      <c r="O395" s="86">
        <f>+L395*60*1000</f>
        <v>329.59210645424093</v>
      </c>
      <c r="P395" s="86">
        <f>+N395*60</f>
        <v>103.10629866208018</v>
      </c>
      <c r="Q395" s="10"/>
      <c r="R395" s="10"/>
      <c r="S395" s="10"/>
      <c r="T395" s="12"/>
      <c r="U395" s="13"/>
      <c r="V395" s="13"/>
      <c r="X395" s="16"/>
      <c r="Y395" s="16"/>
    </row>
    <row r="396" spans="1:19" s="9" customFormat="1" ht="12.75">
      <c r="A396" s="180"/>
      <c r="B396" s="82" t="s">
        <v>699</v>
      </c>
      <c r="C396" s="97">
        <v>72</v>
      </c>
      <c r="D396" s="97"/>
      <c r="E396" s="83">
        <v>37.2</v>
      </c>
      <c r="F396" s="83">
        <v>4.89</v>
      </c>
      <c r="G396" s="83">
        <v>11.5</v>
      </c>
      <c r="H396" s="83">
        <v>20.86</v>
      </c>
      <c r="I396" s="126"/>
      <c r="J396" s="83">
        <v>20.86</v>
      </c>
      <c r="K396" s="84">
        <v>3797</v>
      </c>
      <c r="L396" s="85">
        <f aca="true" t="shared" si="84" ref="L396:L423">J396/K396</f>
        <v>0.005493810903344745</v>
      </c>
      <c r="M396" s="86">
        <v>234.1</v>
      </c>
      <c r="N396" s="86">
        <f aca="true" t="shared" si="85" ref="N396:N423">L396*M396</f>
        <v>1.286101132473005</v>
      </c>
      <c r="O396" s="86">
        <f aca="true" t="shared" si="86" ref="O396:O430">L396*60*1000</f>
        <v>329.6286542006847</v>
      </c>
      <c r="P396" s="86">
        <f aca="true" t="shared" si="87" ref="P396:P409">O396*M396/1000</f>
        <v>77.16606794838029</v>
      </c>
      <c r="Q396" s="11"/>
      <c r="R396" s="10"/>
      <c r="S396" s="10"/>
    </row>
    <row r="397" spans="1:19" s="9" customFormat="1" ht="12.75">
      <c r="A397" s="180"/>
      <c r="B397" s="82" t="s">
        <v>135</v>
      </c>
      <c r="C397" s="97">
        <v>80</v>
      </c>
      <c r="D397" s="97">
        <v>1994</v>
      </c>
      <c r="E397" s="83">
        <v>56.3111</v>
      </c>
      <c r="F397" s="83">
        <v>15.86</v>
      </c>
      <c r="G397" s="83">
        <v>11.2</v>
      </c>
      <c r="H397" s="83">
        <f>E397-F397-G397</f>
        <v>29.251100000000005</v>
      </c>
      <c r="I397" s="84">
        <v>5321.3</v>
      </c>
      <c r="J397" s="83">
        <f>H397</f>
        <v>29.251100000000005</v>
      </c>
      <c r="K397" s="84">
        <f>I397</f>
        <v>5321.3</v>
      </c>
      <c r="L397" s="85">
        <f t="shared" si="84"/>
        <v>0.005496983819743296</v>
      </c>
      <c r="M397" s="86">
        <v>288.2</v>
      </c>
      <c r="N397" s="86">
        <f t="shared" si="85"/>
        <v>1.584230736850018</v>
      </c>
      <c r="O397" s="86">
        <f t="shared" si="86"/>
        <v>329.81902918459775</v>
      </c>
      <c r="P397" s="86">
        <f t="shared" si="87"/>
        <v>95.05384421100106</v>
      </c>
      <c r="R397" s="10"/>
      <c r="S397" s="10"/>
    </row>
    <row r="398" spans="1:19" s="9" customFormat="1" ht="12.75">
      <c r="A398" s="180"/>
      <c r="B398" s="82" t="s">
        <v>750</v>
      </c>
      <c r="C398" s="97">
        <v>8</v>
      </c>
      <c r="D398" s="97" t="s">
        <v>31</v>
      </c>
      <c r="E398" s="83">
        <f>F398+G398+H398</f>
        <v>2.709</v>
      </c>
      <c r="F398" s="83">
        <v>0</v>
      </c>
      <c r="G398" s="83">
        <v>0</v>
      </c>
      <c r="H398" s="83">
        <v>2.709</v>
      </c>
      <c r="I398" s="84">
        <v>491.34</v>
      </c>
      <c r="J398" s="83">
        <v>2.709</v>
      </c>
      <c r="K398" s="84">
        <v>491.34</v>
      </c>
      <c r="L398" s="85">
        <f t="shared" si="84"/>
        <v>0.005513493711075834</v>
      </c>
      <c r="M398" s="86">
        <v>361.99</v>
      </c>
      <c r="N398" s="86">
        <f t="shared" si="85"/>
        <v>1.9958295884723412</v>
      </c>
      <c r="O398" s="86">
        <f t="shared" si="86"/>
        <v>330.80962266455003</v>
      </c>
      <c r="P398" s="86">
        <f t="shared" si="87"/>
        <v>119.74977530834047</v>
      </c>
      <c r="R398" s="10"/>
      <c r="S398" s="10"/>
    </row>
    <row r="399" spans="1:19" s="9" customFormat="1" ht="12.75" customHeight="1">
      <c r="A399" s="180"/>
      <c r="B399" s="118" t="s">
        <v>263</v>
      </c>
      <c r="C399" s="160">
        <v>20</v>
      </c>
      <c r="D399" s="160">
        <v>1969</v>
      </c>
      <c r="E399" s="83">
        <v>11.285</v>
      </c>
      <c r="F399" s="83">
        <v>1.122</v>
      </c>
      <c r="G399" s="83">
        <v>3.2</v>
      </c>
      <c r="H399" s="83">
        <v>6.963</v>
      </c>
      <c r="I399" s="84">
        <v>1259.31</v>
      </c>
      <c r="J399" s="83">
        <v>6.963</v>
      </c>
      <c r="K399" s="84">
        <v>1259.31</v>
      </c>
      <c r="L399" s="85">
        <f t="shared" si="84"/>
        <v>0.005529218381494628</v>
      </c>
      <c r="M399" s="86">
        <v>343.459</v>
      </c>
      <c r="N399" s="86">
        <f t="shared" si="85"/>
        <v>1.8990598160897636</v>
      </c>
      <c r="O399" s="86">
        <f t="shared" si="86"/>
        <v>331.7531028896777</v>
      </c>
      <c r="P399" s="86">
        <f t="shared" si="87"/>
        <v>113.9435889653858</v>
      </c>
      <c r="R399" s="10"/>
      <c r="S399" s="10"/>
    </row>
    <row r="400" spans="1:19" s="9" customFormat="1" ht="12.75">
      <c r="A400" s="180"/>
      <c r="B400" s="82" t="s">
        <v>796</v>
      </c>
      <c r="C400" s="97">
        <v>20</v>
      </c>
      <c r="D400" s="97">
        <v>1983</v>
      </c>
      <c r="E400" s="83">
        <v>11.51</v>
      </c>
      <c r="F400" s="83">
        <v>2.378</v>
      </c>
      <c r="G400" s="83">
        <v>3.2</v>
      </c>
      <c r="H400" s="83">
        <v>5.931</v>
      </c>
      <c r="I400" s="126" t="s">
        <v>790</v>
      </c>
      <c r="J400" s="83">
        <v>5.931</v>
      </c>
      <c r="K400" s="84">
        <v>1070.76</v>
      </c>
      <c r="L400" s="85">
        <f t="shared" si="84"/>
        <v>0.005539056371175613</v>
      </c>
      <c r="M400" s="86">
        <v>354.25</v>
      </c>
      <c r="N400" s="86">
        <f t="shared" si="85"/>
        <v>1.962210719488961</v>
      </c>
      <c r="O400" s="86">
        <f t="shared" si="86"/>
        <v>332.3433822705368</v>
      </c>
      <c r="P400" s="86">
        <f t="shared" si="87"/>
        <v>117.73264316933765</v>
      </c>
      <c r="Q400" s="11"/>
      <c r="R400" s="10"/>
      <c r="S400" s="10"/>
    </row>
    <row r="401" spans="1:19" s="9" customFormat="1" ht="12.75">
      <c r="A401" s="180"/>
      <c r="B401" s="82" t="s">
        <v>797</v>
      </c>
      <c r="C401" s="97">
        <v>40</v>
      </c>
      <c r="D401" s="97">
        <v>1981</v>
      </c>
      <c r="E401" s="83">
        <v>23</v>
      </c>
      <c r="F401" s="83">
        <v>4.078</v>
      </c>
      <c r="G401" s="83">
        <v>6.4</v>
      </c>
      <c r="H401" s="83">
        <v>12.521</v>
      </c>
      <c r="I401" s="126" t="s">
        <v>790</v>
      </c>
      <c r="J401" s="83">
        <v>12.521</v>
      </c>
      <c r="K401" s="84">
        <v>2259.15</v>
      </c>
      <c r="L401" s="85">
        <f t="shared" si="84"/>
        <v>0.005542349998893389</v>
      </c>
      <c r="M401" s="86">
        <v>354.25</v>
      </c>
      <c r="N401" s="86">
        <f t="shared" si="85"/>
        <v>1.9633774871079832</v>
      </c>
      <c r="O401" s="86">
        <f t="shared" si="86"/>
        <v>332.54099993360336</v>
      </c>
      <c r="P401" s="86">
        <f t="shared" si="87"/>
        <v>117.80264922647899</v>
      </c>
      <c r="R401" s="10"/>
      <c r="S401" s="10"/>
    </row>
    <row r="402" spans="1:16" s="9" customFormat="1" ht="12.75" customHeight="1">
      <c r="A402" s="180"/>
      <c r="B402" s="82" t="s">
        <v>199</v>
      </c>
      <c r="C402" s="97">
        <v>79</v>
      </c>
      <c r="D402" s="97">
        <v>1969</v>
      </c>
      <c r="E402" s="83">
        <v>40.868</v>
      </c>
      <c r="F402" s="83">
        <v>6.54</v>
      </c>
      <c r="G402" s="83">
        <v>12.8</v>
      </c>
      <c r="H402" s="83">
        <f>E402-F402-G402</f>
        <v>21.528000000000002</v>
      </c>
      <c r="I402" s="84">
        <v>3876.23</v>
      </c>
      <c r="J402" s="83">
        <v>21.528</v>
      </c>
      <c r="K402" s="84">
        <v>3876.23</v>
      </c>
      <c r="L402" s="85">
        <f t="shared" si="84"/>
        <v>0.005553850003740748</v>
      </c>
      <c r="M402" s="86">
        <v>267.81</v>
      </c>
      <c r="N402" s="86">
        <f t="shared" si="85"/>
        <v>1.4873765695018097</v>
      </c>
      <c r="O402" s="86">
        <f t="shared" si="86"/>
        <v>333.2310002244449</v>
      </c>
      <c r="P402" s="86">
        <f t="shared" si="87"/>
        <v>89.2425941701086</v>
      </c>
    </row>
    <row r="403" spans="1:19" s="9" customFormat="1" ht="12.75">
      <c r="A403" s="180"/>
      <c r="B403" s="82" t="s">
        <v>751</v>
      </c>
      <c r="C403" s="97">
        <v>55</v>
      </c>
      <c r="D403" s="97" t="s">
        <v>31</v>
      </c>
      <c r="E403" s="83">
        <f>F403+G403+H403</f>
        <v>26.164</v>
      </c>
      <c r="F403" s="83">
        <v>3.811</v>
      </c>
      <c r="G403" s="83">
        <v>8.129</v>
      </c>
      <c r="H403" s="83">
        <v>14.224</v>
      </c>
      <c r="I403" s="84">
        <v>2541.89</v>
      </c>
      <c r="J403" s="83">
        <v>13.843</v>
      </c>
      <c r="K403" s="84">
        <v>2471.92</v>
      </c>
      <c r="L403" s="85">
        <f t="shared" si="84"/>
        <v>0.00560010032687142</v>
      </c>
      <c r="M403" s="86">
        <v>361.99</v>
      </c>
      <c r="N403" s="86">
        <f t="shared" si="85"/>
        <v>2.027180317324185</v>
      </c>
      <c r="O403" s="86">
        <f t="shared" si="86"/>
        <v>336.00601961228523</v>
      </c>
      <c r="P403" s="86">
        <f t="shared" si="87"/>
        <v>121.63081903945114</v>
      </c>
      <c r="Q403" s="11"/>
      <c r="R403" s="10"/>
      <c r="S403" s="10"/>
    </row>
    <row r="404" spans="1:19" s="9" customFormat="1" ht="12.75">
      <c r="A404" s="180"/>
      <c r="B404" s="82" t="s">
        <v>752</v>
      </c>
      <c r="C404" s="97">
        <v>6</v>
      </c>
      <c r="D404" s="97" t="s">
        <v>31</v>
      </c>
      <c r="E404" s="83">
        <f>F404+G404+H404</f>
        <v>3.8259999999999996</v>
      </c>
      <c r="F404" s="83">
        <v>0.594</v>
      </c>
      <c r="G404" s="83">
        <v>0.96</v>
      </c>
      <c r="H404" s="83">
        <v>2.272</v>
      </c>
      <c r="I404" s="84">
        <v>404.03</v>
      </c>
      <c r="J404" s="83">
        <v>2.272</v>
      </c>
      <c r="K404" s="84">
        <v>404.03</v>
      </c>
      <c r="L404" s="85">
        <f t="shared" si="84"/>
        <v>0.005623344801128629</v>
      </c>
      <c r="M404" s="86">
        <v>361.99</v>
      </c>
      <c r="N404" s="86">
        <f t="shared" si="85"/>
        <v>2.0355945845605525</v>
      </c>
      <c r="O404" s="86">
        <f t="shared" si="86"/>
        <v>337.4006880677178</v>
      </c>
      <c r="P404" s="86">
        <f t="shared" si="87"/>
        <v>122.13567507363318</v>
      </c>
      <c r="R404" s="10"/>
      <c r="S404" s="10"/>
    </row>
    <row r="405" spans="1:19" s="9" customFormat="1" ht="11.25" customHeight="1">
      <c r="A405" s="180"/>
      <c r="B405" s="82" t="s">
        <v>753</v>
      </c>
      <c r="C405" s="97">
        <v>18</v>
      </c>
      <c r="D405" s="97" t="s">
        <v>31</v>
      </c>
      <c r="E405" s="83">
        <f>F405+G405+H405</f>
        <v>10.489999999999998</v>
      </c>
      <c r="F405" s="83">
        <v>2.026</v>
      </c>
      <c r="G405" s="83">
        <v>2.88</v>
      </c>
      <c r="H405" s="83">
        <v>5.584</v>
      </c>
      <c r="I405" s="84">
        <v>986.57</v>
      </c>
      <c r="J405" s="83">
        <v>5.584</v>
      </c>
      <c r="K405" s="84">
        <v>986.57</v>
      </c>
      <c r="L405" s="85">
        <f t="shared" si="84"/>
        <v>0.005660013987856918</v>
      </c>
      <c r="M405" s="86">
        <v>361.99</v>
      </c>
      <c r="N405" s="86">
        <f t="shared" si="85"/>
        <v>2.0488684634643257</v>
      </c>
      <c r="O405" s="86">
        <f t="shared" si="86"/>
        <v>339.6008392714151</v>
      </c>
      <c r="P405" s="86">
        <f t="shared" si="87"/>
        <v>122.93210780785957</v>
      </c>
      <c r="R405" s="10"/>
      <c r="S405" s="10"/>
    </row>
    <row r="406" spans="1:19" s="9" customFormat="1" ht="12.75" customHeight="1">
      <c r="A406" s="180"/>
      <c r="B406" s="82" t="s">
        <v>94</v>
      </c>
      <c r="C406" s="97">
        <v>107</v>
      </c>
      <c r="D406" s="97">
        <v>1974</v>
      </c>
      <c r="E406" s="83">
        <v>40.3</v>
      </c>
      <c r="F406" s="83">
        <v>8.75</v>
      </c>
      <c r="G406" s="83">
        <v>17.04</v>
      </c>
      <c r="H406" s="83">
        <f>E406-F406-G406</f>
        <v>14.509999999999998</v>
      </c>
      <c r="I406" s="84">
        <v>2560</v>
      </c>
      <c r="J406" s="83">
        <f>H406/I406*K406</f>
        <v>14.186925781249998</v>
      </c>
      <c r="K406" s="97">
        <v>2503</v>
      </c>
      <c r="L406" s="85">
        <f t="shared" si="84"/>
        <v>0.005667968749999999</v>
      </c>
      <c r="M406" s="86">
        <v>332.56</v>
      </c>
      <c r="N406" s="86">
        <f t="shared" si="85"/>
        <v>1.8849396874999997</v>
      </c>
      <c r="O406" s="86">
        <f t="shared" si="86"/>
        <v>340.07812499999994</v>
      </c>
      <c r="P406" s="86">
        <f t="shared" si="87"/>
        <v>113.09638124999998</v>
      </c>
      <c r="R406" s="10"/>
      <c r="S406" s="10"/>
    </row>
    <row r="407" spans="1:19" s="9" customFormat="1" ht="12.75" customHeight="1">
      <c r="A407" s="180"/>
      <c r="B407" s="82" t="s">
        <v>798</v>
      </c>
      <c r="C407" s="97">
        <v>22</v>
      </c>
      <c r="D407" s="97">
        <v>1983</v>
      </c>
      <c r="E407" s="83">
        <v>13</v>
      </c>
      <c r="F407" s="83">
        <v>2.775</v>
      </c>
      <c r="G407" s="83">
        <v>3.52</v>
      </c>
      <c r="H407" s="83">
        <v>6.705</v>
      </c>
      <c r="I407" s="126" t="s">
        <v>790</v>
      </c>
      <c r="J407" s="83">
        <v>6.705</v>
      </c>
      <c r="K407" s="84">
        <v>1182.51</v>
      </c>
      <c r="L407" s="85">
        <f t="shared" si="84"/>
        <v>0.005670142324377806</v>
      </c>
      <c r="M407" s="86">
        <v>354.25</v>
      </c>
      <c r="N407" s="86">
        <f t="shared" si="85"/>
        <v>2.008647918410838</v>
      </c>
      <c r="O407" s="86">
        <f t="shared" si="86"/>
        <v>340.2085394626684</v>
      </c>
      <c r="P407" s="86">
        <f t="shared" si="87"/>
        <v>120.51887510465028</v>
      </c>
      <c r="R407" s="10"/>
      <c r="S407" s="10"/>
    </row>
    <row r="408" spans="1:19" s="9" customFormat="1" ht="12.75" customHeight="1">
      <c r="A408" s="180"/>
      <c r="B408" s="82" t="s">
        <v>610</v>
      </c>
      <c r="C408" s="97">
        <v>45</v>
      </c>
      <c r="D408" s="97">
        <v>1970</v>
      </c>
      <c r="E408" s="83">
        <v>20.741</v>
      </c>
      <c r="F408" s="83">
        <v>2.663</v>
      </c>
      <c r="G408" s="83">
        <v>7.2</v>
      </c>
      <c r="H408" s="83">
        <v>10.878</v>
      </c>
      <c r="I408" s="84">
        <v>1913.38</v>
      </c>
      <c r="J408" s="83">
        <v>10.878</v>
      </c>
      <c r="K408" s="84">
        <v>1913.38</v>
      </c>
      <c r="L408" s="85">
        <f t="shared" si="84"/>
        <v>0.005685227189580742</v>
      </c>
      <c r="M408" s="86">
        <v>210.7</v>
      </c>
      <c r="N408" s="86">
        <f t="shared" si="85"/>
        <v>1.1978773688446622</v>
      </c>
      <c r="O408" s="86">
        <f t="shared" si="86"/>
        <v>341.11363137484454</v>
      </c>
      <c r="P408" s="86">
        <f t="shared" si="87"/>
        <v>71.87264213067974</v>
      </c>
      <c r="Q408" s="11"/>
      <c r="R408" s="10"/>
      <c r="S408" s="10"/>
    </row>
    <row r="409" spans="1:19" s="9" customFormat="1" ht="12.75" customHeight="1">
      <c r="A409" s="180"/>
      <c r="B409" s="82" t="s">
        <v>611</v>
      </c>
      <c r="C409" s="97">
        <v>32</v>
      </c>
      <c r="D409" s="97">
        <v>1961</v>
      </c>
      <c r="E409" s="83">
        <v>13.695</v>
      </c>
      <c r="F409" s="83">
        <v>1.848</v>
      </c>
      <c r="G409" s="83">
        <v>4.986</v>
      </c>
      <c r="H409" s="83">
        <v>6.86</v>
      </c>
      <c r="I409" s="84">
        <v>1204.31</v>
      </c>
      <c r="J409" s="83">
        <v>6.86</v>
      </c>
      <c r="K409" s="84">
        <v>1204.31</v>
      </c>
      <c r="L409" s="85">
        <f t="shared" si="84"/>
        <v>0.005696207787031579</v>
      </c>
      <c r="M409" s="86">
        <v>210.7</v>
      </c>
      <c r="N409" s="86">
        <f t="shared" si="85"/>
        <v>1.2001909807275535</v>
      </c>
      <c r="O409" s="86">
        <f t="shared" si="86"/>
        <v>341.7724672218948</v>
      </c>
      <c r="P409" s="86">
        <f t="shared" si="87"/>
        <v>72.01145884365322</v>
      </c>
      <c r="R409" s="10"/>
      <c r="S409" s="10"/>
    </row>
    <row r="410" spans="1:19" s="9" customFormat="1" ht="12.75" customHeight="1">
      <c r="A410" s="180"/>
      <c r="B410" s="82" t="s">
        <v>52</v>
      </c>
      <c r="C410" s="97">
        <v>22</v>
      </c>
      <c r="D410" s="97">
        <v>1989</v>
      </c>
      <c r="E410" s="83">
        <v>12.242</v>
      </c>
      <c r="F410" s="83">
        <v>1.98616</v>
      </c>
      <c r="G410" s="83">
        <v>3.52</v>
      </c>
      <c r="H410" s="83">
        <v>6.73584</v>
      </c>
      <c r="I410" s="84">
        <v>1179.64</v>
      </c>
      <c r="J410" s="83">
        <f>H410</f>
        <v>6.73584</v>
      </c>
      <c r="K410" s="84">
        <v>1179.64</v>
      </c>
      <c r="L410" s="85">
        <f t="shared" si="84"/>
        <v>0.00571008104167373</v>
      </c>
      <c r="M410" s="86">
        <v>307.38</v>
      </c>
      <c r="N410" s="86">
        <f t="shared" si="85"/>
        <v>1.755164710589671</v>
      </c>
      <c r="O410" s="86">
        <f t="shared" si="86"/>
        <v>342.60486250042385</v>
      </c>
      <c r="P410" s="86">
        <f>N410*60</f>
        <v>105.30988263538026</v>
      </c>
      <c r="R410" s="10"/>
      <c r="S410" s="10"/>
    </row>
    <row r="411" spans="1:19" s="9" customFormat="1" ht="12.75" customHeight="1">
      <c r="A411" s="180"/>
      <c r="B411" s="82" t="s">
        <v>799</v>
      </c>
      <c r="C411" s="97">
        <v>27</v>
      </c>
      <c r="D411" s="97">
        <v>1987</v>
      </c>
      <c r="E411" s="83">
        <v>14.8</v>
      </c>
      <c r="F411" s="83">
        <v>2.804</v>
      </c>
      <c r="G411" s="83">
        <v>3.52</v>
      </c>
      <c r="H411" s="83">
        <v>8.476</v>
      </c>
      <c r="I411" s="126" t="s">
        <v>790</v>
      </c>
      <c r="J411" s="83">
        <v>6.342</v>
      </c>
      <c r="K411" s="84">
        <v>1110.15</v>
      </c>
      <c r="L411" s="85">
        <f t="shared" si="84"/>
        <v>0.005712741521416024</v>
      </c>
      <c r="M411" s="86">
        <v>354.25</v>
      </c>
      <c r="N411" s="86">
        <f t="shared" si="85"/>
        <v>2.0237386839616267</v>
      </c>
      <c r="O411" s="86">
        <f t="shared" si="86"/>
        <v>342.7644912849614</v>
      </c>
      <c r="P411" s="86">
        <f>O411*M411/1000</f>
        <v>121.4243210376976</v>
      </c>
      <c r="Q411" s="11"/>
      <c r="R411" s="10"/>
      <c r="S411" s="10"/>
    </row>
    <row r="412" spans="1:19" s="9" customFormat="1" ht="12.75" customHeight="1">
      <c r="A412" s="180"/>
      <c r="B412" s="82" t="s">
        <v>800</v>
      </c>
      <c r="C412" s="97">
        <v>40</v>
      </c>
      <c r="D412" s="97">
        <v>1981</v>
      </c>
      <c r="E412" s="83">
        <v>25.2</v>
      </c>
      <c r="F412" s="83">
        <v>3.058</v>
      </c>
      <c r="G412" s="83">
        <v>6.4</v>
      </c>
      <c r="H412" s="83">
        <v>15.741</v>
      </c>
      <c r="I412" s="126" t="s">
        <v>801</v>
      </c>
      <c r="J412" s="83">
        <v>12.934</v>
      </c>
      <c r="K412" s="84">
        <v>2263.97</v>
      </c>
      <c r="L412" s="85">
        <f t="shared" si="84"/>
        <v>0.00571297322844384</v>
      </c>
      <c r="M412" s="86">
        <v>354.25</v>
      </c>
      <c r="N412" s="86">
        <f t="shared" si="85"/>
        <v>2.02382076617623</v>
      </c>
      <c r="O412" s="86">
        <f t="shared" si="86"/>
        <v>342.77839370663037</v>
      </c>
      <c r="P412" s="86">
        <f>O412*M412/1000</f>
        <v>121.42924597057382</v>
      </c>
      <c r="R412" s="10"/>
      <c r="S412" s="10"/>
    </row>
    <row r="413" spans="1:19" s="9" customFormat="1" ht="13.5" customHeight="1">
      <c r="A413" s="180"/>
      <c r="B413" s="82" t="s">
        <v>802</v>
      </c>
      <c r="C413" s="97">
        <v>55</v>
      </c>
      <c r="D413" s="97">
        <v>1966</v>
      </c>
      <c r="E413" s="83">
        <v>29.5</v>
      </c>
      <c r="F413" s="83">
        <v>3.543</v>
      </c>
      <c r="G413" s="83">
        <v>8.8</v>
      </c>
      <c r="H413" s="83">
        <v>17.156</v>
      </c>
      <c r="I413" s="126" t="s">
        <v>801</v>
      </c>
      <c r="J413" s="83">
        <v>14.352</v>
      </c>
      <c r="K413" s="84">
        <v>2512.12</v>
      </c>
      <c r="L413" s="85">
        <f t="shared" si="84"/>
        <v>0.005713102877251087</v>
      </c>
      <c r="M413" s="86">
        <v>354.25</v>
      </c>
      <c r="N413" s="86">
        <f t="shared" si="85"/>
        <v>2.023866694266198</v>
      </c>
      <c r="O413" s="86">
        <f t="shared" si="86"/>
        <v>342.7861726350652</v>
      </c>
      <c r="P413" s="86">
        <f>O413*M413/1000</f>
        <v>121.43200165597185</v>
      </c>
      <c r="R413" s="10"/>
      <c r="S413" s="10"/>
    </row>
    <row r="414" spans="1:19" s="9" customFormat="1" ht="13.5" customHeight="1">
      <c r="A414" s="180"/>
      <c r="B414" s="82" t="s">
        <v>612</v>
      </c>
      <c r="C414" s="97">
        <v>40</v>
      </c>
      <c r="D414" s="97">
        <v>1994</v>
      </c>
      <c r="E414" s="83">
        <v>24.179</v>
      </c>
      <c r="F414" s="83">
        <v>5.092</v>
      </c>
      <c r="G414" s="83">
        <v>6.4</v>
      </c>
      <c r="H414" s="83">
        <v>12.687</v>
      </c>
      <c r="I414" s="84">
        <v>2220.04</v>
      </c>
      <c r="J414" s="83">
        <v>12.687</v>
      </c>
      <c r="K414" s="84">
        <v>2220.04</v>
      </c>
      <c r="L414" s="85">
        <f t="shared" si="84"/>
        <v>0.005714761896182051</v>
      </c>
      <c r="M414" s="86">
        <v>210.7</v>
      </c>
      <c r="N414" s="86">
        <f t="shared" si="85"/>
        <v>1.204100331525558</v>
      </c>
      <c r="O414" s="86">
        <f t="shared" si="86"/>
        <v>342.885713770923</v>
      </c>
      <c r="P414" s="86">
        <f>O414*M414/1000</f>
        <v>72.24601989153348</v>
      </c>
      <c r="R414" s="10"/>
      <c r="S414" s="10"/>
    </row>
    <row r="415" spans="1:19" s="9" customFormat="1" ht="12.75" customHeight="1">
      <c r="A415" s="180"/>
      <c r="B415" s="82" t="s">
        <v>200</v>
      </c>
      <c r="C415" s="97">
        <v>12</v>
      </c>
      <c r="D415" s="97">
        <v>1954</v>
      </c>
      <c r="E415" s="83">
        <v>6.408</v>
      </c>
      <c r="F415" s="83">
        <v>1.2189</v>
      </c>
      <c r="G415" s="83">
        <v>1.912</v>
      </c>
      <c r="H415" s="83">
        <f>E415-F415-G415</f>
        <v>3.2771</v>
      </c>
      <c r="I415" s="84">
        <v>572.25</v>
      </c>
      <c r="J415" s="83">
        <v>3.277</v>
      </c>
      <c r="K415" s="84">
        <v>572.25</v>
      </c>
      <c r="L415" s="85">
        <f t="shared" si="84"/>
        <v>0.005726518130187855</v>
      </c>
      <c r="M415" s="86">
        <v>267.81</v>
      </c>
      <c r="N415" s="86">
        <f t="shared" si="85"/>
        <v>1.5336188204456096</v>
      </c>
      <c r="O415" s="86">
        <f t="shared" si="86"/>
        <v>343.5910878112713</v>
      </c>
      <c r="P415" s="86">
        <f>O415*M415/1000</f>
        <v>92.01712922673656</v>
      </c>
      <c r="R415" s="10"/>
      <c r="S415" s="10"/>
    </row>
    <row r="416" spans="1:19" s="9" customFormat="1" ht="12.75">
      <c r="A416" s="180"/>
      <c r="B416" s="82" t="s">
        <v>53</v>
      </c>
      <c r="C416" s="97">
        <v>50</v>
      </c>
      <c r="D416" s="97">
        <v>2000</v>
      </c>
      <c r="E416" s="83">
        <v>28.252</v>
      </c>
      <c r="F416" s="83">
        <v>5.131808</v>
      </c>
      <c r="G416" s="83">
        <v>8</v>
      </c>
      <c r="H416" s="83">
        <v>15.120191</v>
      </c>
      <c r="I416" s="84">
        <v>2639.5</v>
      </c>
      <c r="J416" s="83">
        <f>H416</f>
        <v>15.120191</v>
      </c>
      <c r="K416" s="84">
        <v>2639.5</v>
      </c>
      <c r="L416" s="85">
        <f t="shared" si="84"/>
        <v>0.005728430005682895</v>
      </c>
      <c r="M416" s="86">
        <v>306.181</v>
      </c>
      <c r="N416" s="86">
        <f t="shared" si="85"/>
        <v>1.7539364275699942</v>
      </c>
      <c r="O416" s="86">
        <f t="shared" si="86"/>
        <v>343.7058003409737</v>
      </c>
      <c r="P416" s="86">
        <f>N416*60</f>
        <v>105.23618565419966</v>
      </c>
      <c r="Q416" s="11"/>
      <c r="R416" s="10"/>
      <c r="S416" s="10"/>
    </row>
    <row r="417" spans="1:16" s="9" customFormat="1" ht="12.75" customHeight="1">
      <c r="A417" s="180"/>
      <c r="B417" s="82" t="s">
        <v>754</v>
      </c>
      <c r="C417" s="97">
        <v>18</v>
      </c>
      <c r="D417" s="97" t="s">
        <v>31</v>
      </c>
      <c r="E417" s="83">
        <f>F417+G417+H417</f>
        <v>10.584</v>
      </c>
      <c r="F417" s="83">
        <v>1.979</v>
      </c>
      <c r="G417" s="83">
        <v>2.88</v>
      </c>
      <c r="H417" s="83">
        <v>5.725</v>
      </c>
      <c r="I417" s="84">
        <v>998.64</v>
      </c>
      <c r="J417" s="83">
        <v>5.725</v>
      </c>
      <c r="K417" s="84">
        <v>998.64</v>
      </c>
      <c r="L417" s="85">
        <f t="shared" si="84"/>
        <v>0.005732796603380597</v>
      </c>
      <c r="M417" s="86">
        <v>361.99</v>
      </c>
      <c r="N417" s="86">
        <f t="shared" si="85"/>
        <v>2.0752150424577427</v>
      </c>
      <c r="O417" s="86">
        <f t="shared" si="86"/>
        <v>343.96779620283587</v>
      </c>
      <c r="P417" s="86">
        <f aca="true" t="shared" si="88" ref="P417:P423">O417*M417/1000</f>
        <v>124.51290254746456</v>
      </c>
    </row>
    <row r="418" spans="1:19" s="9" customFormat="1" ht="12.75">
      <c r="A418" s="180"/>
      <c r="B418" s="82" t="s">
        <v>136</v>
      </c>
      <c r="C418" s="97">
        <v>17</v>
      </c>
      <c r="D418" s="97">
        <v>1937</v>
      </c>
      <c r="E418" s="83">
        <v>4.73343</v>
      </c>
      <c r="F418" s="83">
        <v>1.11946</v>
      </c>
      <c r="G418" s="83">
        <v>0.168</v>
      </c>
      <c r="H418" s="83">
        <f>E418-F418-G418</f>
        <v>3.44597</v>
      </c>
      <c r="I418" s="84">
        <v>599.81</v>
      </c>
      <c r="J418" s="83">
        <f>H418</f>
        <v>3.44597</v>
      </c>
      <c r="K418" s="84">
        <f>I418</f>
        <v>599.81</v>
      </c>
      <c r="L418" s="85">
        <f t="shared" si="84"/>
        <v>0.005745102615828346</v>
      </c>
      <c r="M418" s="86">
        <v>288.2</v>
      </c>
      <c r="N418" s="86">
        <f t="shared" si="85"/>
        <v>1.6557385738817292</v>
      </c>
      <c r="O418" s="86">
        <f t="shared" si="86"/>
        <v>344.70615694970076</v>
      </c>
      <c r="P418" s="86">
        <f t="shared" si="88"/>
        <v>99.34431443290376</v>
      </c>
      <c r="R418" s="10"/>
      <c r="S418" s="10"/>
    </row>
    <row r="419" spans="1:19" s="9" customFormat="1" ht="12.75">
      <c r="A419" s="180"/>
      <c r="B419" s="82" t="s">
        <v>442</v>
      </c>
      <c r="C419" s="97">
        <v>24</v>
      </c>
      <c r="D419" s="97">
        <v>1966</v>
      </c>
      <c r="E419" s="83">
        <f>SUM(F419:H419)</f>
        <v>6.247</v>
      </c>
      <c r="F419" s="83"/>
      <c r="G419" s="83"/>
      <c r="H419" s="83">
        <v>6.247</v>
      </c>
      <c r="I419" s="84">
        <v>1087.21</v>
      </c>
      <c r="J419" s="83">
        <v>6.247</v>
      </c>
      <c r="K419" s="84">
        <v>1087.21</v>
      </c>
      <c r="L419" s="85">
        <f t="shared" si="84"/>
        <v>0.005745900056106916</v>
      </c>
      <c r="M419" s="86">
        <v>316.536</v>
      </c>
      <c r="N419" s="86">
        <f t="shared" si="85"/>
        <v>1.8187842201598587</v>
      </c>
      <c r="O419" s="86">
        <f t="shared" si="86"/>
        <v>344.7540033664149</v>
      </c>
      <c r="P419" s="86">
        <f t="shared" si="88"/>
        <v>109.12705320959151</v>
      </c>
      <c r="Q419" s="11"/>
      <c r="R419" s="10"/>
      <c r="S419" s="10"/>
    </row>
    <row r="420" spans="1:19" s="9" customFormat="1" ht="12.75">
      <c r="A420" s="180"/>
      <c r="B420" s="82" t="s">
        <v>700</v>
      </c>
      <c r="C420" s="97">
        <v>48</v>
      </c>
      <c r="D420" s="97"/>
      <c r="E420" s="83">
        <v>22.6</v>
      </c>
      <c r="F420" s="83">
        <v>1.68</v>
      </c>
      <c r="G420" s="83">
        <v>7.68</v>
      </c>
      <c r="H420" s="83">
        <v>13.2</v>
      </c>
      <c r="I420" s="126"/>
      <c r="J420" s="83">
        <v>13.2</v>
      </c>
      <c r="K420" s="84">
        <v>2296</v>
      </c>
      <c r="L420" s="85">
        <f t="shared" si="84"/>
        <v>0.005749128919860627</v>
      </c>
      <c r="M420" s="86">
        <v>234.1</v>
      </c>
      <c r="N420" s="86">
        <f t="shared" si="85"/>
        <v>1.3458710801393727</v>
      </c>
      <c r="O420" s="86">
        <f t="shared" si="86"/>
        <v>344.9477351916376</v>
      </c>
      <c r="P420" s="86">
        <f t="shared" si="88"/>
        <v>80.75226480836237</v>
      </c>
      <c r="Q420" s="11"/>
      <c r="R420" s="10"/>
      <c r="S420" s="10"/>
    </row>
    <row r="421" spans="1:19" s="9" customFormat="1" ht="12.75">
      <c r="A421" s="180"/>
      <c r="B421" s="82" t="s">
        <v>613</v>
      </c>
      <c r="C421" s="97">
        <v>32</v>
      </c>
      <c r="D421" s="97">
        <v>1962</v>
      </c>
      <c r="E421" s="83">
        <v>14.391</v>
      </c>
      <c r="F421" s="83">
        <v>2.364</v>
      </c>
      <c r="G421" s="83">
        <v>5.053</v>
      </c>
      <c r="H421" s="83">
        <v>6.974</v>
      </c>
      <c r="I421" s="84">
        <v>1208.71</v>
      </c>
      <c r="J421" s="83">
        <v>6.974</v>
      </c>
      <c r="K421" s="84">
        <v>1208.71</v>
      </c>
      <c r="L421" s="85">
        <f t="shared" si="84"/>
        <v>0.005769787624823159</v>
      </c>
      <c r="M421" s="86">
        <v>210.7</v>
      </c>
      <c r="N421" s="86">
        <f t="shared" si="85"/>
        <v>1.2156942525502394</v>
      </c>
      <c r="O421" s="86">
        <f t="shared" si="86"/>
        <v>346.1872574893895</v>
      </c>
      <c r="P421" s="86">
        <f t="shared" si="88"/>
        <v>72.94165515301437</v>
      </c>
      <c r="R421" s="10"/>
      <c r="S421" s="10"/>
    </row>
    <row r="422" spans="1:19" s="9" customFormat="1" ht="12.75">
      <c r="A422" s="180"/>
      <c r="B422" s="82" t="s">
        <v>701</v>
      </c>
      <c r="C422" s="97">
        <v>60</v>
      </c>
      <c r="D422" s="97"/>
      <c r="E422" s="83">
        <v>30.2</v>
      </c>
      <c r="F422" s="83">
        <v>4.4</v>
      </c>
      <c r="G422" s="83">
        <v>9.6</v>
      </c>
      <c r="H422" s="83">
        <v>15.8</v>
      </c>
      <c r="I422" s="126"/>
      <c r="J422" s="83">
        <v>15.8</v>
      </c>
      <c r="K422" s="84">
        <v>2712</v>
      </c>
      <c r="L422" s="85">
        <f t="shared" si="84"/>
        <v>0.005825958702064897</v>
      </c>
      <c r="M422" s="86">
        <v>234.1</v>
      </c>
      <c r="N422" s="86">
        <f t="shared" si="85"/>
        <v>1.3638569321533922</v>
      </c>
      <c r="O422" s="86">
        <f t="shared" si="86"/>
        <v>349.5575221238938</v>
      </c>
      <c r="P422" s="86">
        <f t="shared" si="88"/>
        <v>81.83141592920354</v>
      </c>
      <c r="R422" s="10"/>
      <c r="S422" s="10"/>
    </row>
    <row r="423" spans="1:19" s="9" customFormat="1" ht="12.75">
      <c r="A423" s="180"/>
      <c r="B423" s="82" t="s">
        <v>635</v>
      </c>
      <c r="C423" s="97">
        <v>45</v>
      </c>
      <c r="D423" s="97" t="s">
        <v>31</v>
      </c>
      <c r="E423" s="83">
        <f>SUM(F423:H423)</f>
        <v>25.3</v>
      </c>
      <c r="F423" s="83">
        <v>4.2</v>
      </c>
      <c r="G423" s="83">
        <v>7.3</v>
      </c>
      <c r="H423" s="83">
        <v>13.8</v>
      </c>
      <c r="I423" s="84">
        <v>2363.02</v>
      </c>
      <c r="J423" s="83">
        <v>13.8</v>
      </c>
      <c r="K423" s="84">
        <v>2363.02</v>
      </c>
      <c r="L423" s="157">
        <f t="shared" si="84"/>
        <v>0.005839984426708196</v>
      </c>
      <c r="M423" s="158">
        <v>209.8</v>
      </c>
      <c r="N423" s="159">
        <f t="shared" si="85"/>
        <v>1.2252287327233795</v>
      </c>
      <c r="O423" s="159">
        <f t="shared" si="86"/>
        <v>350.39906560249176</v>
      </c>
      <c r="P423" s="159">
        <f t="shared" si="88"/>
        <v>73.51372396340278</v>
      </c>
      <c r="Q423" s="11"/>
      <c r="R423" s="10"/>
      <c r="S423" s="10"/>
    </row>
    <row r="424" spans="1:19" s="9" customFormat="1" ht="12.75">
      <c r="A424" s="180"/>
      <c r="B424" s="82" t="s">
        <v>821</v>
      </c>
      <c r="C424" s="97">
        <v>20</v>
      </c>
      <c r="D424" s="97">
        <v>1979</v>
      </c>
      <c r="E424" s="83">
        <f>SUM(F424+G424+H424)</f>
        <v>11.2</v>
      </c>
      <c r="F424" s="83">
        <v>1.7</v>
      </c>
      <c r="G424" s="83">
        <v>3.1</v>
      </c>
      <c r="H424" s="83">
        <v>6.4</v>
      </c>
      <c r="I424" s="84">
        <v>1073.91</v>
      </c>
      <c r="J424" s="83">
        <v>6.4</v>
      </c>
      <c r="K424" s="84">
        <v>1073.9</v>
      </c>
      <c r="L424" s="85">
        <f>SUM(J424/K424)</f>
        <v>0.005959586553682838</v>
      </c>
      <c r="M424" s="86">
        <v>214.3</v>
      </c>
      <c r="N424" s="86">
        <f>SUM(L424*M424)</f>
        <v>1.277139398454232</v>
      </c>
      <c r="O424" s="86">
        <f t="shared" si="86"/>
        <v>357.5751932209703</v>
      </c>
      <c r="P424" s="86">
        <f>SUM(N424*60)</f>
        <v>76.62836390725393</v>
      </c>
      <c r="R424" s="10"/>
      <c r="S424" s="10"/>
    </row>
    <row r="425" spans="1:16" s="9" customFormat="1" ht="12.75" customHeight="1">
      <c r="A425" s="180"/>
      <c r="B425" s="82" t="s">
        <v>803</v>
      </c>
      <c r="C425" s="97">
        <v>40</v>
      </c>
      <c r="D425" s="97">
        <v>1973</v>
      </c>
      <c r="E425" s="83">
        <v>21.4</v>
      </c>
      <c r="F425" s="83">
        <v>3.398</v>
      </c>
      <c r="G425" s="83">
        <v>6.4</v>
      </c>
      <c r="H425" s="83">
        <v>11.602</v>
      </c>
      <c r="I425" s="126" t="s">
        <v>790</v>
      </c>
      <c r="J425" s="83">
        <v>11.602</v>
      </c>
      <c r="K425" s="84">
        <v>1939.5</v>
      </c>
      <c r="L425" s="85">
        <f>J425/K425</f>
        <v>0.005981954111884506</v>
      </c>
      <c r="M425" s="86">
        <v>354.25</v>
      </c>
      <c r="N425" s="86">
        <f>L425*M425</f>
        <v>2.1191072441350864</v>
      </c>
      <c r="O425" s="86">
        <f t="shared" si="86"/>
        <v>358.91724671307037</v>
      </c>
      <c r="P425" s="86">
        <f>O425*M425/1000</f>
        <v>127.14643464810517</v>
      </c>
    </row>
    <row r="426" spans="1:19" s="9" customFormat="1" ht="12.75">
      <c r="A426" s="180"/>
      <c r="B426" s="82" t="s">
        <v>137</v>
      </c>
      <c r="C426" s="97">
        <v>100</v>
      </c>
      <c r="D426" s="97">
        <v>1981</v>
      </c>
      <c r="E426" s="83">
        <v>47.75</v>
      </c>
      <c r="F426" s="83">
        <v>15.619</v>
      </c>
      <c r="G426" s="83">
        <v>10</v>
      </c>
      <c r="H426" s="83">
        <f>E426-F426-G426</f>
        <v>22.131</v>
      </c>
      <c r="I426" s="84">
        <v>3691.27</v>
      </c>
      <c r="J426" s="83">
        <f>H426</f>
        <v>22.131</v>
      </c>
      <c r="K426" s="84">
        <f>I426</f>
        <v>3691.27</v>
      </c>
      <c r="L426" s="85">
        <f>J426/K426</f>
        <v>0.005995497484605569</v>
      </c>
      <c r="M426" s="86">
        <v>288.2</v>
      </c>
      <c r="N426" s="86">
        <f>L426*M426</f>
        <v>1.727902375063325</v>
      </c>
      <c r="O426" s="86">
        <f t="shared" si="86"/>
        <v>359.7298490763342</v>
      </c>
      <c r="P426" s="86">
        <f>O426*M426/1000</f>
        <v>103.6741425037995</v>
      </c>
      <c r="R426" s="10"/>
      <c r="S426" s="10"/>
    </row>
    <row r="427" spans="1:19" s="9" customFormat="1" ht="12.75">
      <c r="A427" s="180"/>
      <c r="B427" s="82" t="s">
        <v>54</v>
      </c>
      <c r="C427" s="97">
        <v>44</v>
      </c>
      <c r="D427" s="97" t="s">
        <v>31</v>
      </c>
      <c r="E427" s="83">
        <v>27.726</v>
      </c>
      <c r="F427" s="83">
        <v>6.65632</v>
      </c>
      <c r="G427" s="83">
        <v>7.04</v>
      </c>
      <c r="H427" s="83">
        <v>14.029683</v>
      </c>
      <c r="I427" s="84">
        <v>2337.92</v>
      </c>
      <c r="J427" s="83">
        <f>H427</f>
        <v>14.029683</v>
      </c>
      <c r="K427" s="84">
        <v>2337.92</v>
      </c>
      <c r="L427" s="85">
        <f>J427/K427</f>
        <v>0.006000925181357788</v>
      </c>
      <c r="M427" s="86">
        <v>307.38</v>
      </c>
      <c r="N427" s="86">
        <f>L427*M427</f>
        <v>1.844564382245757</v>
      </c>
      <c r="O427" s="86">
        <f t="shared" si="86"/>
        <v>360.0555108814672</v>
      </c>
      <c r="P427" s="86">
        <f>N427*60</f>
        <v>110.67386293474542</v>
      </c>
      <c r="R427" s="10"/>
      <c r="S427" s="10"/>
    </row>
    <row r="428" spans="1:19" s="9" customFormat="1" ht="12.75">
      <c r="A428" s="180"/>
      <c r="B428" s="82" t="s">
        <v>822</v>
      </c>
      <c r="C428" s="97">
        <v>40</v>
      </c>
      <c r="D428" s="97">
        <v>1980</v>
      </c>
      <c r="E428" s="83">
        <f>SUM(F428+G428+H428)</f>
        <v>22.900000000000002</v>
      </c>
      <c r="F428" s="83">
        <v>3.2</v>
      </c>
      <c r="G428" s="83">
        <v>6.4</v>
      </c>
      <c r="H428" s="83">
        <v>13.3</v>
      </c>
      <c r="I428" s="84">
        <v>2208.76</v>
      </c>
      <c r="J428" s="83">
        <v>13.3</v>
      </c>
      <c r="K428" s="84">
        <v>2208.8</v>
      </c>
      <c r="L428" s="85">
        <f>SUM(J428/K428)</f>
        <v>0.006021369069177834</v>
      </c>
      <c r="M428" s="86">
        <v>214.3</v>
      </c>
      <c r="N428" s="86">
        <f>SUM(L428*M428)</f>
        <v>1.2903793915248098</v>
      </c>
      <c r="O428" s="86">
        <f t="shared" si="86"/>
        <v>361.28214415067004</v>
      </c>
      <c r="P428" s="86">
        <f>SUM(N428*60)</f>
        <v>77.4227634914886</v>
      </c>
      <c r="R428" s="10"/>
      <c r="S428" s="10"/>
    </row>
    <row r="429" spans="1:19" s="9" customFormat="1" ht="12.75">
      <c r="A429" s="180"/>
      <c r="B429" s="82" t="s">
        <v>95</v>
      </c>
      <c r="C429" s="97">
        <v>47</v>
      </c>
      <c r="D429" s="97">
        <v>1979</v>
      </c>
      <c r="E429" s="83">
        <v>32.48</v>
      </c>
      <c r="F429" s="83">
        <v>6.88</v>
      </c>
      <c r="G429" s="83">
        <v>7.6</v>
      </c>
      <c r="H429" s="83">
        <f>E429-F429-G429</f>
        <v>18</v>
      </c>
      <c r="I429" s="84">
        <v>2974.6</v>
      </c>
      <c r="J429" s="83">
        <f>H429/I429*K429</f>
        <v>17.65750016808983</v>
      </c>
      <c r="K429" s="97">
        <v>2918</v>
      </c>
      <c r="L429" s="85">
        <f>J429/K429</f>
        <v>0.006051233779331675</v>
      </c>
      <c r="M429" s="86">
        <v>332.56</v>
      </c>
      <c r="N429" s="86">
        <f>L429*M429</f>
        <v>2.012398305654542</v>
      </c>
      <c r="O429" s="86">
        <f t="shared" si="86"/>
        <v>363.0740267599005</v>
      </c>
      <c r="P429" s="86">
        <f>O429*M429/1000</f>
        <v>120.7438983392725</v>
      </c>
      <c r="R429" s="10"/>
      <c r="S429" s="10"/>
    </row>
    <row r="430" spans="1:19" s="9" customFormat="1" ht="12.75">
      <c r="A430" s="180"/>
      <c r="B430" s="82" t="s">
        <v>636</v>
      </c>
      <c r="C430" s="97">
        <v>20</v>
      </c>
      <c r="D430" s="97" t="s">
        <v>31</v>
      </c>
      <c r="E430" s="83">
        <f>SUM(F430:H430)</f>
        <v>11.399999999999999</v>
      </c>
      <c r="F430" s="83">
        <v>1.9</v>
      </c>
      <c r="G430" s="83">
        <v>3.3</v>
      </c>
      <c r="H430" s="83">
        <v>6.2</v>
      </c>
      <c r="I430" s="84">
        <v>957.78</v>
      </c>
      <c r="J430" s="83">
        <v>5.8</v>
      </c>
      <c r="K430" s="84">
        <v>957.78</v>
      </c>
      <c r="L430" s="157">
        <f>J430/K430</f>
        <v>0.0060556704044770196</v>
      </c>
      <c r="M430" s="158">
        <v>209.8</v>
      </c>
      <c r="N430" s="159">
        <f>L430*M430</f>
        <v>1.2704796508592788</v>
      </c>
      <c r="O430" s="159">
        <f t="shared" si="86"/>
        <v>363.34022426862117</v>
      </c>
      <c r="P430" s="159">
        <f>O430*M430/1000</f>
        <v>76.22877905155673</v>
      </c>
      <c r="R430" s="10"/>
      <c r="S430" s="10"/>
    </row>
    <row r="431" spans="1:19" s="9" customFormat="1" ht="12.75">
      <c r="A431" s="180"/>
      <c r="B431" s="113" t="s">
        <v>248</v>
      </c>
      <c r="C431" s="114">
        <v>22</v>
      </c>
      <c r="D431" s="97">
        <v>1984</v>
      </c>
      <c r="E431" s="83">
        <f>+F431+G431+H431</f>
        <v>12.169</v>
      </c>
      <c r="F431" s="115">
        <v>1.462235</v>
      </c>
      <c r="G431" s="115">
        <v>3.52</v>
      </c>
      <c r="H431" s="115">
        <v>7.186765</v>
      </c>
      <c r="I431" s="116">
        <v>1182.48</v>
      </c>
      <c r="J431" s="115">
        <v>7.186765</v>
      </c>
      <c r="K431" s="116">
        <v>1182.48</v>
      </c>
      <c r="L431" s="85">
        <f>+J431/K431</f>
        <v>0.006077705331168392</v>
      </c>
      <c r="M431" s="86">
        <v>312.83</v>
      </c>
      <c r="N431" s="86">
        <f>+L431*M431</f>
        <v>1.9012885587494082</v>
      </c>
      <c r="O431" s="86">
        <f>+L431*60*1000</f>
        <v>364.66231987010354</v>
      </c>
      <c r="P431" s="86">
        <f>+N431*60</f>
        <v>114.0773135249645</v>
      </c>
      <c r="R431" s="10"/>
      <c r="S431" s="10"/>
    </row>
    <row r="432" spans="1:19" s="9" customFormat="1" ht="12.75">
      <c r="A432" s="180"/>
      <c r="B432" s="82" t="s">
        <v>201</v>
      </c>
      <c r="C432" s="97">
        <v>45</v>
      </c>
      <c r="D432" s="97">
        <v>1960</v>
      </c>
      <c r="E432" s="83">
        <v>17.661</v>
      </c>
      <c r="F432" s="83">
        <v>5.555</v>
      </c>
      <c r="G432" s="83">
        <v>0.44</v>
      </c>
      <c r="H432" s="83">
        <f>E432-F432-G432</f>
        <v>11.666000000000002</v>
      </c>
      <c r="I432" s="84">
        <v>1919.38</v>
      </c>
      <c r="J432" s="83">
        <v>11.666</v>
      </c>
      <c r="K432" s="84">
        <v>1919.38</v>
      </c>
      <c r="L432" s="85">
        <f aca="true" t="shared" si="89" ref="L432:L446">J432/K432</f>
        <v>0.006078004355573154</v>
      </c>
      <c r="M432" s="86">
        <v>267.81</v>
      </c>
      <c r="N432" s="86">
        <f aca="true" t="shared" si="90" ref="N432:N446">L432*M432</f>
        <v>1.6277503464660463</v>
      </c>
      <c r="O432" s="86">
        <f aca="true" t="shared" si="91" ref="O432:O441">L432*60*1000</f>
        <v>364.68026133438923</v>
      </c>
      <c r="P432" s="86">
        <f aca="true" t="shared" si="92" ref="P432:P441">O432*M432/1000</f>
        <v>97.66502078796279</v>
      </c>
      <c r="Q432" s="11"/>
      <c r="R432" s="10"/>
      <c r="S432" s="10"/>
    </row>
    <row r="433" spans="1:19" s="9" customFormat="1" ht="12.75">
      <c r="A433" s="180"/>
      <c r="B433" s="82" t="s">
        <v>702</v>
      </c>
      <c r="C433" s="97">
        <v>20</v>
      </c>
      <c r="D433" s="97"/>
      <c r="E433" s="83">
        <v>12.7</v>
      </c>
      <c r="F433" s="83">
        <v>2.7</v>
      </c>
      <c r="G433" s="83">
        <v>3.2</v>
      </c>
      <c r="H433" s="83">
        <v>6.7</v>
      </c>
      <c r="I433" s="126"/>
      <c r="J433" s="83">
        <v>6.7</v>
      </c>
      <c r="K433" s="84">
        <v>1102</v>
      </c>
      <c r="L433" s="85">
        <f t="shared" si="89"/>
        <v>0.006079854809437387</v>
      </c>
      <c r="M433" s="86">
        <v>234.1</v>
      </c>
      <c r="N433" s="86">
        <f t="shared" si="90"/>
        <v>1.4232940108892922</v>
      </c>
      <c r="O433" s="86">
        <f t="shared" si="91"/>
        <v>364.7912885662432</v>
      </c>
      <c r="P433" s="86">
        <f t="shared" si="92"/>
        <v>85.39764065335754</v>
      </c>
      <c r="Q433" s="11"/>
      <c r="R433" s="10"/>
      <c r="S433" s="10"/>
    </row>
    <row r="434" spans="1:19" s="9" customFormat="1" ht="12.75">
      <c r="A434" s="180"/>
      <c r="B434" s="82" t="s">
        <v>443</v>
      </c>
      <c r="C434" s="97">
        <v>12</v>
      </c>
      <c r="D434" s="97">
        <v>1963</v>
      </c>
      <c r="E434" s="83">
        <f>SUM(F434:H434)</f>
        <v>4.617</v>
      </c>
      <c r="F434" s="83">
        <v>0.64404</v>
      </c>
      <c r="G434" s="83">
        <v>0.705</v>
      </c>
      <c r="H434" s="83">
        <v>3.26796</v>
      </c>
      <c r="I434" s="84">
        <v>534.54</v>
      </c>
      <c r="J434" s="83">
        <v>3.26796</v>
      </c>
      <c r="K434" s="84">
        <v>534.54</v>
      </c>
      <c r="L434" s="85">
        <f t="shared" si="89"/>
        <v>0.006113592995846896</v>
      </c>
      <c r="M434" s="86">
        <v>316.536</v>
      </c>
      <c r="N434" s="86">
        <f t="shared" si="90"/>
        <v>1.9351722725333933</v>
      </c>
      <c r="O434" s="86">
        <f t="shared" si="91"/>
        <v>366.8155797508138</v>
      </c>
      <c r="P434" s="86">
        <f t="shared" si="92"/>
        <v>116.11033635200361</v>
      </c>
      <c r="R434" s="10"/>
      <c r="S434" s="10"/>
    </row>
    <row r="435" spans="1:19" s="9" customFormat="1" ht="12.75" customHeight="1">
      <c r="A435" s="180"/>
      <c r="B435" s="82" t="s">
        <v>634</v>
      </c>
      <c r="C435" s="97">
        <v>85</v>
      </c>
      <c r="D435" s="97" t="s">
        <v>31</v>
      </c>
      <c r="E435" s="83">
        <f>SUM(F435:H435)</f>
        <v>43.3</v>
      </c>
      <c r="F435" s="83">
        <v>5.6</v>
      </c>
      <c r="G435" s="83">
        <v>13.9</v>
      </c>
      <c r="H435" s="83">
        <v>23.8</v>
      </c>
      <c r="I435" s="84">
        <v>3854.08</v>
      </c>
      <c r="J435" s="83">
        <v>23.6</v>
      </c>
      <c r="K435" s="84">
        <v>3854.08</v>
      </c>
      <c r="L435" s="157">
        <f t="shared" si="89"/>
        <v>0.006123380936565926</v>
      </c>
      <c r="M435" s="158">
        <v>209.8</v>
      </c>
      <c r="N435" s="159">
        <f t="shared" si="90"/>
        <v>1.2846853204915314</v>
      </c>
      <c r="O435" s="159">
        <f t="shared" si="91"/>
        <v>367.4028561939556</v>
      </c>
      <c r="P435" s="159">
        <f t="shared" si="92"/>
        <v>77.08111922949189</v>
      </c>
      <c r="R435" s="10"/>
      <c r="S435" s="10"/>
    </row>
    <row r="436" spans="1:19" s="9" customFormat="1" ht="12.75">
      <c r="A436" s="180"/>
      <c r="B436" s="82" t="s">
        <v>637</v>
      </c>
      <c r="C436" s="97">
        <v>20</v>
      </c>
      <c r="D436" s="97" t="s">
        <v>31</v>
      </c>
      <c r="E436" s="83">
        <f>SUM(F436:H436)</f>
        <v>11.3</v>
      </c>
      <c r="F436" s="83">
        <v>1.5</v>
      </c>
      <c r="G436" s="83">
        <v>3.3</v>
      </c>
      <c r="H436" s="83">
        <v>6.5</v>
      </c>
      <c r="I436" s="84">
        <v>1055.4</v>
      </c>
      <c r="J436" s="83">
        <v>6.5</v>
      </c>
      <c r="K436" s="84">
        <v>1055.4</v>
      </c>
      <c r="L436" s="157">
        <f t="shared" si="89"/>
        <v>0.006158802349819973</v>
      </c>
      <c r="M436" s="158">
        <v>209.8</v>
      </c>
      <c r="N436" s="159">
        <f t="shared" si="90"/>
        <v>1.2921167329922305</v>
      </c>
      <c r="O436" s="159">
        <f t="shared" si="91"/>
        <v>369.5281409891984</v>
      </c>
      <c r="P436" s="159">
        <f t="shared" si="92"/>
        <v>77.52700397953382</v>
      </c>
      <c r="R436" s="10"/>
      <c r="S436" s="10"/>
    </row>
    <row r="437" spans="1:19" s="9" customFormat="1" ht="12.75">
      <c r="A437" s="180"/>
      <c r="B437" s="82" t="s">
        <v>202</v>
      </c>
      <c r="C437" s="97">
        <v>60</v>
      </c>
      <c r="D437" s="97">
        <v>1965</v>
      </c>
      <c r="E437" s="83">
        <v>30.984</v>
      </c>
      <c r="F437" s="83">
        <v>4.541</v>
      </c>
      <c r="G437" s="83">
        <v>9.6</v>
      </c>
      <c r="H437" s="83">
        <f>E437-F437-G437</f>
        <v>16.843000000000004</v>
      </c>
      <c r="I437" s="84">
        <v>2722.9</v>
      </c>
      <c r="J437" s="83">
        <v>16.843</v>
      </c>
      <c r="K437" s="84">
        <v>2722.9</v>
      </c>
      <c r="L437" s="85">
        <f t="shared" si="89"/>
        <v>0.0061856843806236</v>
      </c>
      <c r="M437" s="86">
        <v>267.81</v>
      </c>
      <c r="N437" s="86">
        <f t="shared" si="90"/>
        <v>1.6565881339748063</v>
      </c>
      <c r="O437" s="86">
        <f t="shared" si="91"/>
        <v>371.141062837416</v>
      </c>
      <c r="P437" s="86">
        <f t="shared" si="92"/>
        <v>99.39528803848837</v>
      </c>
      <c r="R437" s="10"/>
      <c r="S437" s="10"/>
    </row>
    <row r="438" spans="1:19" s="9" customFormat="1" ht="12.75">
      <c r="A438" s="180"/>
      <c r="B438" s="82" t="s">
        <v>444</v>
      </c>
      <c r="C438" s="97">
        <v>12</v>
      </c>
      <c r="D438" s="97">
        <v>1962</v>
      </c>
      <c r="E438" s="83">
        <f>SUM(F438:H438)</f>
        <v>3.06</v>
      </c>
      <c r="F438" s="83"/>
      <c r="G438" s="83"/>
      <c r="H438" s="83">
        <v>3.06</v>
      </c>
      <c r="I438" s="84">
        <v>529.97</v>
      </c>
      <c r="J438" s="83">
        <v>3.00975</v>
      </c>
      <c r="K438" s="84">
        <v>486.49</v>
      </c>
      <c r="L438" s="85">
        <f t="shared" si="89"/>
        <v>0.006186663651873625</v>
      </c>
      <c r="M438" s="86">
        <v>316.536</v>
      </c>
      <c r="N438" s="86">
        <f t="shared" si="90"/>
        <v>1.9583017657094697</v>
      </c>
      <c r="O438" s="86">
        <f t="shared" si="91"/>
        <v>371.1998191124175</v>
      </c>
      <c r="P438" s="86">
        <f t="shared" si="92"/>
        <v>117.49810594256819</v>
      </c>
      <c r="R438" s="10"/>
      <c r="S438" s="10"/>
    </row>
    <row r="439" spans="1:19" s="9" customFormat="1" ht="12.75">
      <c r="A439" s="180"/>
      <c r="B439" s="82" t="s">
        <v>96</v>
      </c>
      <c r="C439" s="97">
        <v>59</v>
      </c>
      <c r="D439" s="97">
        <v>1981</v>
      </c>
      <c r="E439" s="83">
        <v>39.32</v>
      </c>
      <c r="F439" s="83">
        <v>8.53</v>
      </c>
      <c r="G439" s="83">
        <v>9.6</v>
      </c>
      <c r="H439" s="83">
        <f>E439-F439-G439</f>
        <v>21.189999999999998</v>
      </c>
      <c r="I439" s="84">
        <v>3418.8</v>
      </c>
      <c r="J439" s="83">
        <f>H439/I439*K439</f>
        <v>20.800760500760497</v>
      </c>
      <c r="K439" s="97">
        <v>3356</v>
      </c>
      <c r="L439" s="85">
        <f t="shared" si="89"/>
        <v>0.006198081198081197</v>
      </c>
      <c r="M439" s="86">
        <v>332.56</v>
      </c>
      <c r="N439" s="86">
        <f t="shared" si="90"/>
        <v>2.0612338832338826</v>
      </c>
      <c r="O439" s="86">
        <f t="shared" si="91"/>
        <v>371.8848718848718</v>
      </c>
      <c r="P439" s="86">
        <f t="shared" si="92"/>
        <v>123.67403299403297</v>
      </c>
      <c r="R439" s="10"/>
      <c r="S439" s="10"/>
    </row>
    <row r="440" spans="1:19" s="9" customFormat="1" ht="12.75">
      <c r="A440" s="180"/>
      <c r="B440" s="82" t="s">
        <v>138</v>
      </c>
      <c r="C440" s="97">
        <v>30</v>
      </c>
      <c r="D440" s="97">
        <v>1980</v>
      </c>
      <c r="E440" s="83">
        <v>18.681</v>
      </c>
      <c r="F440" s="83">
        <v>5.05432</v>
      </c>
      <c r="G440" s="83">
        <v>3</v>
      </c>
      <c r="H440" s="83">
        <f>E440-F440-G440</f>
        <v>10.62668</v>
      </c>
      <c r="I440" s="84">
        <v>1710.41</v>
      </c>
      <c r="J440" s="83">
        <f>H440</f>
        <v>10.62668</v>
      </c>
      <c r="K440" s="84">
        <f>I440</f>
        <v>1710.41</v>
      </c>
      <c r="L440" s="85">
        <f t="shared" si="89"/>
        <v>0.00621294309551511</v>
      </c>
      <c r="M440" s="86">
        <v>288.2</v>
      </c>
      <c r="N440" s="86">
        <f t="shared" si="90"/>
        <v>1.7905702001274546</v>
      </c>
      <c r="O440" s="86">
        <f t="shared" si="91"/>
        <v>372.7765857309066</v>
      </c>
      <c r="P440" s="86">
        <f t="shared" si="92"/>
        <v>107.43421200764728</v>
      </c>
      <c r="R440" s="10"/>
      <c r="S440" s="10"/>
    </row>
    <row r="441" spans="1:19" s="9" customFormat="1" ht="12.75">
      <c r="A441" s="180"/>
      <c r="B441" s="82" t="s">
        <v>703</v>
      </c>
      <c r="C441" s="97">
        <v>60</v>
      </c>
      <c r="D441" s="97"/>
      <c r="E441" s="83">
        <v>36.4</v>
      </c>
      <c r="F441" s="83">
        <v>6.5</v>
      </c>
      <c r="G441" s="83">
        <v>9.6</v>
      </c>
      <c r="H441" s="83">
        <v>20.3</v>
      </c>
      <c r="I441" s="126"/>
      <c r="J441" s="83">
        <v>20.3</v>
      </c>
      <c r="K441" s="84">
        <v>3251</v>
      </c>
      <c r="L441" s="85">
        <f t="shared" si="89"/>
        <v>0.006244232543832667</v>
      </c>
      <c r="M441" s="86">
        <v>234.1</v>
      </c>
      <c r="N441" s="86">
        <f t="shared" si="90"/>
        <v>1.4617748385112272</v>
      </c>
      <c r="O441" s="86">
        <f t="shared" si="91"/>
        <v>374.65395262996003</v>
      </c>
      <c r="P441" s="86">
        <f t="shared" si="92"/>
        <v>87.70649031067364</v>
      </c>
      <c r="R441" s="10"/>
      <c r="S441" s="10"/>
    </row>
    <row r="442" spans="1:19" s="9" customFormat="1" ht="12.75">
      <c r="A442" s="180"/>
      <c r="B442" s="82" t="s">
        <v>583</v>
      </c>
      <c r="C442" s="97">
        <v>40</v>
      </c>
      <c r="D442" s="97">
        <v>1973</v>
      </c>
      <c r="E442" s="83">
        <v>26.1</v>
      </c>
      <c r="F442" s="83">
        <v>3.8549</v>
      </c>
      <c r="G442" s="83">
        <v>6.16</v>
      </c>
      <c r="H442" s="83">
        <f>E442-F442-G442</f>
        <v>16.0851</v>
      </c>
      <c r="I442" s="84">
        <v>2567.4</v>
      </c>
      <c r="J442" s="83">
        <v>16.0851</v>
      </c>
      <c r="K442" s="84">
        <v>2567.4</v>
      </c>
      <c r="L442" s="85">
        <f t="shared" si="89"/>
        <v>0.006265132040196308</v>
      </c>
      <c r="M442" s="86">
        <v>243.179</v>
      </c>
      <c r="N442" s="86">
        <f t="shared" si="90"/>
        <v>1.523548544402898</v>
      </c>
      <c r="O442" s="86">
        <f>L442*1000*60</f>
        <v>375.9079224117785</v>
      </c>
      <c r="P442" s="86">
        <f>N442*60</f>
        <v>91.41291266417387</v>
      </c>
      <c r="R442" s="10"/>
      <c r="S442" s="10"/>
    </row>
    <row r="443" spans="1:19" s="9" customFormat="1" ht="12.75">
      <c r="A443" s="180"/>
      <c r="B443" s="82" t="s">
        <v>445</v>
      </c>
      <c r="C443" s="97">
        <v>12</v>
      </c>
      <c r="D443" s="97">
        <v>1925</v>
      </c>
      <c r="E443" s="83">
        <f>SUM(F443:H443)</f>
        <v>3.21</v>
      </c>
      <c r="F443" s="83"/>
      <c r="G443" s="83"/>
      <c r="H443" s="83">
        <v>3.21</v>
      </c>
      <c r="I443" s="84">
        <v>512.15</v>
      </c>
      <c r="J443" s="83">
        <v>3.21</v>
      </c>
      <c r="K443" s="84">
        <v>512.15</v>
      </c>
      <c r="L443" s="85">
        <f t="shared" si="89"/>
        <v>0.00626769501122718</v>
      </c>
      <c r="M443" s="86">
        <v>316.536</v>
      </c>
      <c r="N443" s="86">
        <f t="shared" si="90"/>
        <v>1.9839511080738066</v>
      </c>
      <c r="O443" s="86">
        <f aca="true" t="shared" si="93" ref="O443:O448">L443*60*1000</f>
        <v>376.0617006736308</v>
      </c>
      <c r="P443" s="86">
        <f>O443*M443/1000</f>
        <v>119.03706648442841</v>
      </c>
      <c r="R443" s="10"/>
      <c r="S443" s="10"/>
    </row>
    <row r="444" spans="1:19" s="9" customFormat="1" ht="12.75">
      <c r="A444" s="180"/>
      <c r="B444" s="82" t="s">
        <v>55</v>
      </c>
      <c r="C444" s="97">
        <v>40</v>
      </c>
      <c r="D444" s="97">
        <v>1985</v>
      </c>
      <c r="E444" s="83">
        <v>25.165</v>
      </c>
      <c r="F444" s="83">
        <v>5.207175</v>
      </c>
      <c r="G444" s="83">
        <v>6.4</v>
      </c>
      <c r="H444" s="83">
        <v>13.55783</v>
      </c>
      <c r="I444" s="84">
        <v>2161.15</v>
      </c>
      <c r="J444" s="83">
        <f>H444</f>
        <v>13.55783</v>
      </c>
      <c r="K444" s="84">
        <v>2161.15</v>
      </c>
      <c r="L444" s="85">
        <f t="shared" si="89"/>
        <v>0.006273433125882053</v>
      </c>
      <c r="M444" s="86">
        <v>307.38</v>
      </c>
      <c r="N444" s="86">
        <f t="shared" si="90"/>
        <v>1.9283278742336254</v>
      </c>
      <c r="O444" s="86">
        <f t="shared" si="93"/>
        <v>376.4059875529232</v>
      </c>
      <c r="P444" s="86">
        <f>N444*60</f>
        <v>115.69967245401753</v>
      </c>
      <c r="R444" s="10"/>
      <c r="S444" s="10"/>
    </row>
    <row r="445" spans="1:19" s="9" customFormat="1" ht="12.75" customHeight="1">
      <c r="A445" s="180"/>
      <c r="B445" s="82" t="s">
        <v>775</v>
      </c>
      <c r="C445" s="97">
        <v>100</v>
      </c>
      <c r="D445" s="97" t="s">
        <v>534</v>
      </c>
      <c r="E445" s="83">
        <f>+F445+G445+H445</f>
        <v>43.857</v>
      </c>
      <c r="F445" s="83">
        <v>3.98</v>
      </c>
      <c r="G445" s="83">
        <v>11.97</v>
      </c>
      <c r="H445" s="83">
        <v>27.907</v>
      </c>
      <c r="I445" s="84">
        <v>4434.32</v>
      </c>
      <c r="J445" s="83">
        <v>27.907</v>
      </c>
      <c r="K445" s="84">
        <v>4434.32</v>
      </c>
      <c r="L445" s="85">
        <f t="shared" si="89"/>
        <v>0.006293411391149038</v>
      </c>
      <c r="M445" s="86">
        <v>276.9</v>
      </c>
      <c r="N445" s="86">
        <f t="shared" si="90"/>
        <v>1.7426456142091684</v>
      </c>
      <c r="O445" s="86">
        <f t="shared" si="93"/>
        <v>377.60468346894226</v>
      </c>
      <c r="P445" s="86">
        <f>O445*M445/1000</f>
        <v>104.55873685255011</v>
      </c>
      <c r="Q445" s="11"/>
      <c r="R445" s="10"/>
      <c r="S445" s="10"/>
    </row>
    <row r="446" spans="1:19" s="9" customFormat="1" ht="12.75">
      <c r="A446" s="180"/>
      <c r="B446" s="82" t="s">
        <v>804</v>
      </c>
      <c r="C446" s="97">
        <v>50</v>
      </c>
      <c r="D446" s="97">
        <v>1976</v>
      </c>
      <c r="E446" s="83">
        <v>24.3</v>
      </c>
      <c r="F446" s="83">
        <v>4.854</v>
      </c>
      <c r="G446" s="83">
        <v>8</v>
      </c>
      <c r="H446" s="83">
        <v>11.445</v>
      </c>
      <c r="I446" s="126" t="s">
        <v>790</v>
      </c>
      <c r="J446" s="83">
        <v>11.445</v>
      </c>
      <c r="K446" s="84">
        <v>1816.52</v>
      </c>
      <c r="L446" s="85">
        <f t="shared" si="89"/>
        <v>0.006300508664919737</v>
      </c>
      <c r="M446" s="86">
        <v>354.25</v>
      </c>
      <c r="N446" s="86">
        <f t="shared" si="90"/>
        <v>2.2319551945478167</v>
      </c>
      <c r="O446" s="86">
        <f t="shared" si="93"/>
        <v>378.0305198951842</v>
      </c>
      <c r="P446" s="86">
        <f>O446*M446/1000</f>
        <v>133.91731167286903</v>
      </c>
      <c r="R446" s="10"/>
      <c r="S446" s="10"/>
    </row>
    <row r="447" spans="1:19" s="9" customFormat="1" ht="12.75" customHeight="1">
      <c r="A447" s="180"/>
      <c r="B447" s="82" t="s">
        <v>823</v>
      </c>
      <c r="C447" s="97">
        <v>10</v>
      </c>
      <c r="D447" s="97">
        <v>1968</v>
      </c>
      <c r="E447" s="83">
        <f>SUM(F447+G447+H447)</f>
        <v>6.6000000000000005</v>
      </c>
      <c r="F447" s="83">
        <v>0.8</v>
      </c>
      <c r="G447" s="83">
        <v>1.6</v>
      </c>
      <c r="H447" s="83">
        <v>4.2</v>
      </c>
      <c r="I447" s="84">
        <v>662.08</v>
      </c>
      <c r="J447" s="83">
        <v>4.2</v>
      </c>
      <c r="K447" s="84">
        <v>665.81</v>
      </c>
      <c r="L447" s="85">
        <f>SUM(J447/K447)</f>
        <v>0.006308105916102192</v>
      </c>
      <c r="M447" s="86">
        <v>214.3</v>
      </c>
      <c r="N447" s="86">
        <f>SUM(L447*M447)</f>
        <v>1.3518270978206999</v>
      </c>
      <c r="O447" s="86">
        <f t="shared" si="93"/>
        <v>378.48635496613156</v>
      </c>
      <c r="P447" s="86">
        <f>SUM(N447*60)</f>
        <v>81.109625869242</v>
      </c>
      <c r="Q447" s="11"/>
      <c r="R447" s="10"/>
      <c r="S447" s="10"/>
    </row>
    <row r="448" spans="1:19" s="9" customFormat="1" ht="12.75">
      <c r="A448" s="180"/>
      <c r="B448" s="82" t="s">
        <v>854</v>
      </c>
      <c r="C448" s="97">
        <v>18</v>
      </c>
      <c r="D448" s="97" t="s">
        <v>31</v>
      </c>
      <c r="E448" s="83">
        <v>10.326</v>
      </c>
      <c r="F448" s="83">
        <f>26*0.051</f>
        <v>1.3259999999999998</v>
      </c>
      <c r="G448" s="83">
        <f>18*0.16</f>
        <v>2.88</v>
      </c>
      <c r="H448" s="83">
        <f>+E448-F448-G448</f>
        <v>6.12</v>
      </c>
      <c r="I448" s="126"/>
      <c r="J448" s="83">
        <f>+H448</f>
        <v>6.12</v>
      </c>
      <c r="K448" s="84">
        <v>967.9</v>
      </c>
      <c r="L448" s="85">
        <f>J448/K448</f>
        <v>0.0063229672486827156</v>
      </c>
      <c r="M448" s="86">
        <v>347.8</v>
      </c>
      <c r="N448" s="86">
        <f>L448*M448</f>
        <v>2.1991280090918486</v>
      </c>
      <c r="O448" s="86">
        <f t="shared" si="93"/>
        <v>379.37803492096293</v>
      </c>
      <c r="P448" s="86">
        <f>O448*M448/1000</f>
        <v>131.9476805455109</v>
      </c>
      <c r="R448" s="10"/>
      <c r="S448" s="10"/>
    </row>
    <row r="449" spans="1:16" s="9" customFormat="1" ht="12.75" customHeight="1">
      <c r="A449" s="180"/>
      <c r="B449" s="113" t="s">
        <v>249</v>
      </c>
      <c r="C449" s="114">
        <v>21</v>
      </c>
      <c r="D449" s="97">
        <v>1960</v>
      </c>
      <c r="E449" s="83">
        <f>+F449+G449+H449</f>
        <v>11.701996000000001</v>
      </c>
      <c r="F449" s="115">
        <v>1.479</v>
      </c>
      <c r="G449" s="115">
        <v>3.2</v>
      </c>
      <c r="H449" s="115">
        <v>7.022996000000001</v>
      </c>
      <c r="I449" s="116">
        <v>1105.8500000000001</v>
      </c>
      <c r="J449" s="115">
        <v>7.022996000000001</v>
      </c>
      <c r="K449" s="116">
        <v>1105.8500000000001</v>
      </c>
      <c r="L449" s="85">
        <f>+J449/K449</f>
        <v>0.0063507672830854095</v>
      </c>
      <c r="M449" s="86">
        <v>312.83</v>
      </c>
      <c r="N449" s="86">
        <f>+L449*M449</f>
        <v>1.9867105291676086</v>
      </c>
      <c r="O449" s="86">
        <f>+L449*60*1000</f>
        <v>381.04603698512454</v>
      </c>
      <c r="P449" s="86">
        <f>+N449*60</f>
        <v>119.20263175005651</v>
      </c>
    </row>
    <row r="450" spans="1:19" s="9" customFormat="1" ht="12.75">
      <c r="A450" s="180"/>
      <c r="B450" s="82" t="s">
        <v>446</v>
      </c>
      <c r="C450" s="97">
        <v>47</v>
      </c>
      <c r="D450" s="97">
        <v>1969</v>
      </c>
      <c r="E450" s="83">
        <f>SUM(F450:H450)</f>
        <v>22.224</v>
      </c>
      <c r="F450" s="83">
        <v>2.6835</v>
      </c>
      <c r="G450" s="83">
        <v>7.44</v>
      </c>
      <c r="H450" s="83">
        <v>12.1005</v>
      </c>
      <c r="I450" s="84">
        <v>1893.25</v>
      </c>
      <c r="J450" s="83">
        <v>12.1005</v>
      </c>
      <c r="K450" s="84">
        <v>1893.25</v>
      </c>
      <c r="L450" s="85">
        <f>J450/K450</f>
        <v>0.006391390466129672</v>
      </c>
      <c r="M450" s="86">
        <v>316.536</v>
      </c>
      <c r="N450" s="86">
        <f>L450*M450</f>
        <v>2.023105172586822</v>
      </c>
      <c r="O450" s="86">
        <f>L450*60*1000</f>
        <v>383.4834279677803</v>
      </c>
      <c r="P450" s="86">
        <f>O450*M450/1000</f>
        <v>121.3863103552093</v>
      </c>
      <c r="R450" s="10"/>
      <c r="S450" s="10"/>
    </row>
    <row r="451" spans="1:19" s="9" customFormat="1" ht="12.75">
      <c r="A451" s="180"/>
      <c r="B451" s="113" t="s">
        <v>250</v>
      </c>
      <c r="C451" s="114">
        <v>16</v>
      </c>
      <c r="D451" s="97">
        <v>1977</v>
      </c>
      <c r="E451" s="83">
        <f>+F451+G451+H451</f>
        <v>9.740276999999999</v>
      </c>
      <c r="F451" s="115">
        <v>1.836</v>
      </c>
      <c r="G451" s="115">
        <v>2.24</v>
      </c>
      <c r="H451" s="115">
        <v>5.664276999999999</v>
      </c>
      <c r="I451" s="116">
        <v>967.12</v>
      </c>
      <c r="J451" s="115">
        <v>5.664276999999999</v>
      </c>
      <c r="K451" s="116">
        <v>884.41</v>
      </c>
      <c r="L451" s="85">
        <f>+J451/K451</f>
        <v>0.006404582716161056</v>
      </c>
      <c r="M451" s="86">
        <v>312.83</v>
      </c>
      <c r="N451" s="86">
        <f>+L451*M451</f>
        <v>2.003545611096663</v>
      </c>
      <c r="O451" s="86">
        <f>+L451*60*1000</f>
        <v>384.27496296966336</v>
      </c>
      <c r="P451" s="86">
        <f>+N451*60</f>
        <v>120.21273666579978</v>
      </c>
      <c r="R451" s="10"/>
      <c r="S451" s="10"/>
    </row>
    <row r="452" spans="1:22" s="9" customFormat="1" ht="12.75">
      <c r="A452" s="180"/>
      <c r="B452" s="82" t="s">
        <v>855</v>
      </c>
      <c r="C452" s="97">
        <v>20</v>
      </c>
      <c r="D452" s="97" t="s">
        <v>31</v>
      </c>
      <c r="E452" s="83">
        <v>11</v>
      </c>
      <c r="F452" s="83">
        <f>21.5*0.051</f>
        <v>1.0965</v>
      </c>
      <c r="G452" s="83">
        <f>20*0.16</f>
        <v>3.2</v>
      </c>
      <c r="H452" s="83">
        <f>+E452-F452-G452</f>
        <v>6.703499999999999</v>
      </c>
      <c r="I452" s="126"/>
      <c r="J452" s="83">
        <f>+H452</f>
        <v>6.703499999999999</v>
      </c>
      <c r="K452" s="84">
        <v>1046.02</v>
      </c>
      <c r="L452" s="85">
        <f aca="true" t="shared" si="94" ref="L452:L461">J452/K452</f>
        <v>0.006408577273857095</v>
      </c>
      <c r="M452" s="86">
        <v>347.8</v>
      </c>
      <c r="N452" s="86">
        <f aca="true" t="shared" si="95" ref="N452:N461">L452*M452</f>
        <v>2.2289031758474978</v>
      </c>
      <c r="O452" s="86">
        <f>L452*60*1000</f>
        <v>384.5146364314257</v>
      </c>
      <c r="P452" s="86">
        <f>O452*M452/1000</f>
        <v>133.73419055084986</v>
      </c>
      <c r="Q452" s="10"/>
      <c r="R452" s="10"/>
      <c r="S452" s="10"/>
      <c r="T452" s="12"/>
      <c r="U452" s="13"/>
      <c r="V452" s="13"/>
    </row>
    <row r="453" spans="1:19" s="9" customFormat="1" ht="12.75">
      <c r="A453" s="180"/>
      <c r="B453" s="82" t="s">
        <v>805</v>
      </c>
      <c r="C453" s="97">
        <v>12</v>
      </c>
      <c r="D453" s="97">
        <v>1977</v>
      </c>
      <c r="E453" s="83">
        <v>6.4</v>
      </c>
      <c r="F453" s="83">
        <v>1.2</v>
      </c>
      <c r="G453" s="83">
        <v>1.9</v>
      </c>
      <c r="H453" s="83">
        <v>3.3</v>
      </c>
      <c r="I453" s="126" t="s">
        <v>790</v>
      </c>
      <c r="J453" s="83">
        <v>3.3</v>
      </c>
      <c r="K453" s="84">
        <v>514.6</v>
      </c>
      <c r="L453" s="85">
        <f t="shared" si="94"/>
        <v>0.006412747765254566</v>
      </c>
      <c r="M453" s="86">
        <v>354.25</v>
      </c>
      <c r="N453" s="86">
        <f t="shared" si="95"/>
        <v>2.2717158958414303</v>
      </c>
      <c r="O453" s="86">
        <f>L453*60*1000</f>
        <v>384.76486591527396</v>
      </c>
      <c r="P453" s="86">
        <f>O453*M453/1000</f>
        <v>136.30295375048578</v>
      </c>
      <c r="R453" s="10"/>
      <c r="S453" s="10"/>
    </row>
    <row r="454" spans="1:19" s="9" customFormat="1" ht="13.5" customHeight="1">
      <c r="A454" s="180"/>
      <c r="B454" s="82" t="s">
        <v>584</v>
      </c>
      <c r="C454" s="97">
        <v>30</v>
      </c>
      <c r="D454" s="97">
        <v>1985</v>
      </c>
      <c r="E454" s="83">
        <v>18.43</v>
      </c>
      <c r="F454" s="83">
        <v>3.5715</v>
      </c>
      <c r="G454" s="83">
        <v>4.8</v>
      </c>
      <c r="H454" s="83">
        <f>E454-F454-G454</f>
        <v>10.058499999999999</v>
      </c>
      <c r="I454" s="84">
        <v>1566.56</v>
      </c>
      <c r="J454" s="83">
        <v>10.0585</v>
      </c>
      <c r="K454" s="84">
        <v>1566.56</v>
      </c>
      <c r="L454" s="85">
        <f t="shared" si="94"/>
        <v>0.006420756306812379</v>
      </c>
      <c r="M454" s="86">
        <v>243.179</v>
      </c>
      <c r="N454" s="86">
        <f t="shared" si="95"/>
        <v>1.5613930979343276</v>
      </c>
      <c r="O454" s="86">
        <f>L454*1000*60</f>
        <v>385.24537840874274</v>
      </c>
      <c r="P454" s="86">
        <f>N454*60</f>
        <v>93.68358587605965</v>
      </c>
      <c r="R454" s="10"/>
      <c r="S454" s="10"/>
    </row>
    <row r="455" spans="1:19" s="9" customFormat="1" ht="12.75" customHeight="1">
      <c r="A455" s="180"/>
      <c r="B455" s="82" t="s">
        <v>585</v>
      </c>
      <c r="C455" s="97">
        <v>60</v>
      </c>
      <c r="D455" s="97">
        <v>1968</v>
      </c>
      <c r="E455" s="83">
        <v>32.1</v>
      </c>
      <c r="F455" s="83">
        <v>4.9887</v>
      </c>
      <c r="G455" s="83">
        <v>9.6</v>
      </c>
      <c r="H455" s="83">
        <f>E455-F455-G455</f>
        <v>17.5113</v>
      </c>
      <c r="I455" s="84">
        <v>2726.22</v>
      </c>
      <c r="J455" s="83">
        <v>17.5113</v>
      </c>
      <c r="K455" s="84">
        <v>2726.22</v>
      </c>
      <c r="L455" s="85">
        <f t="shared" si="94"/>
        <v>0.006423289389704425</v>
      </c>
      <c r="M455" s="86">
        <v>243.179</v>
      </c>
      <c r="N455" s="86">
        <f t="shared" si="95"/>
        <v>1.5620090904989326</v>
      </c>
      <c r="O455" s="86">
        <f>L455*1000*60</f>
        <v>385.39736338226555</v>
      </c>
      <c r="P455" s="86">
        <f>N455*60</f>
        <v>93.72054542993595</v>
      </c>
      <c r="Q455" s="11"/>
      <c r="R455" s="10"/>
      <c r="S455" s="10"/>
    </row>
    <row r="456" spans="1:19" s="9" customFormat="1" ht="12.75">
      <c r="A456" s="180"/>
      <c r="B456" s="82" t="s">
        <v>856</v>
      </c>
      <c r="C456" s="97">
        <v>4</v>
      </c>
      <c r="D456" s="97" t="s">
        <v>31</v>
      </c>
      <c r="E456" s="83">
        <v>1.182</v>
      </c>
      <c r="F456" s="83"/>
      <c r="G456" s="83"/>
      <c r="H456" s="83">
        <f>+E456</f>
        <v>1.182</v>
      </c>
      <c r="I456" s="126"/>
      <c r="J456" s="83">
        <f>+H456</f>
        <v>1.182</v>
      </c>
      <c r="K456" s="84">
        <v>183.78</v>
      </c>
      <c r="L456" s="85">
        <f t="shared" si="94"/>
        <v>0.00643160300359125</v>
      </c>
      <c r="M456" s="86">
        <v>347.8</v>
      </c>
      <c r="N456" s="86">
        <f t="shared" si="95"/>
        <v>2.2369115246490368</v>
      </c>
      <c r="O456" s="86">
        <f aca="true" t="shared" si="96" ref="O456:O461">L456*60*1000</f>
        <v>385.896180215475</v>
      </c>
      <c r="P456" s="86">
        <f aca="true" t="shared" si="97" ref="P456:P461">O456*M456/1000</f>
        <v>134.2146914789422</v>
      </c>
      <c r="R456" s="10"/>
      <c r="S456" s="10"/>
    </row>
    <row r="457" spans="1:16" s="9" customFormat="1" ht="13.5" customHeight="1">
      <c r="A457" s="180"/>
      <c r="B457" s="95" t="s">
        <v>170</v>
      </c>
      <c r="C457" s="96">
        <v>108</v>
      </c>
      <c r="D457" s="97" t="s">
        <v>31</v>
      </c>
      <c r="E457" s="98">
        <v>39.066</v>
      </c>
      <c r="F457" s="98">
        <v>5.17</v>
      </c>
      <c r="G457" s="98">
        <v>17.28</v>
      </c>
      <c r="H457" s="98">
        <v>16.62</v>
      </c>
      <c r="I457" s="96">
        <v>2582.45</v>
      </c>
      <c r="J457" s="98">
        <v>16.62</v>
      </c>
      <c r="K457" s="96">
        <v>2582.45</v>
      </c>
      <c r="L457" s="85">
        <f t="shared" si="94"/>
        <v>0.006435748998044493</v>
      </c>
      <c r="M457" s="86">
        <v>256</v>
      </c>
      <c r="N457" s="86">
        <f t="shared" si="95"/>
        <v>1.6475517434993903</v>
      </c>
      <c r="O457" s="86">
        <f t="shared" si="96"/>
        <v>386.1449398826696</v>
      </c>
      <c r="P457" s="86">
        <f t="shared" si="97"/>
        <v>98.85310460996341</v>
      </c>
    </row>
    <row r="458" spans="1:19" s="9" customFormat="1" ht="12.75" customHeight="1">
      <c r="A458" s="180"/>
      <c r="B458" s="82" t="s">
        <v>447</v>
      </c>
      <c r="C458" s="97">
        <v>4</v>
      </c>
      <c r="D458" s="97">
        <v>1961</v>
      </c>
      <c r="E458" s="83">
        <f>SUM(F458:H458)</f>
        <v>0.84</v>
      </c>
      <c r="F458" s="83"/>
      <c r="G458" s="83"/>
      <c r="H458" s="83">
        <v>0.84</v>
      </c>
      <c r="I458" s="84">
        <v>193.05</v>
      </c>
      <c r="J458" s="83">
        <v>0.77665</v>
      </c>
      <c r="K458" s="84">
        <v>120.27</v>
      </c>
      <c r="L458" s="85">
        <f t="shared" si="94"/>
        <v>0.006457553837199634</v>
      </c>
      <c r="M458" s="86">
        <v>316.536</v>
      </c>
      <c r="N458" s="86">
        <f t="shared" si="95"/>
        <v>2.0440482614118234</v>
      </c>
      <c r="O458" s="86">
        <f t="shared" si="96"/>
        <v>387.453230231978</v>
      </c>
      <c r="P458" s="86">
        <f t="shared" si="97"/>
        <v>122.64289568470939</v>
      </c>
      <c r="R458" s="10"/>
      <c r="S458" s="10"/>
    </row>
    <row r="459" spans="1:19" s="9" customFormat="1" ht="12.75">
      <c r="A459" s="180"/>
      <c r="B459" s="82" t="s">
        <v>857</v>
      </c>
      <c r="C459" s="97">
        <v>20</v>
      </c>
      <c r="D459" s="97" t="s">
        <v>31</v>
      </c>
      <c r="E459" s="83">
        <v>11.182</v>
      </c>
      <c r="F459" s="83">
        <f>23.7*0.051</f>
        <v>1.2086999999999999</v>
      </c>
      <c r="G459" s="83">
        <f>20*0.16</f>
        <v>3.2</v>
      </c>
      <c r="H459" s="83">
        <f>+E459-F459-G459</f>
        <v>6.7733</v>
      </c>
      <c r="I459" s="126"/>
      <c r="J459" s="83">
        <f>+H459</f>
        <v>6.7733</v>
      </c>
      <c r="K459" s="84">
        <v>1047.37</v>
      </c>
      <c r="L459" s="85">
        <f t="shared" si="94"/>
        <v>0.006466960100060151</v>
      </c>
      <c r="M459" s="86">
        <v>347.8</v>
      </c>
      <c r="N459" s="86">
        <f t="shared" si="95"/>
        <v>2.2492087228009208</v>
      </c>
      <c r="O459" s="86">
        <f t="shared" si="96"/>
        <v>388.01760600360905</v>
      </c>
      <c r="P459" s="86">
        <f t="shared" si="97"/>
        <v>134.95252336805524</v>
      </c>
      <c r="R459" s="10"/>
      <c r="S459" s="10"/>
    </row>
    <row r="460" spans="1:19" s="9" customFormat="1" ht="12.75">
      <c r="A460" s="180"/>
      <c r="B460" s="82" t="s">
        <v>654</v>
      </c>
      <c r="C460" s="97">
        <v>40</v>
      </c>
      <c r="D460" s="97"/>
      <c r="E460" s="83">
        <v>14.629</v>
      </c>
      <c r="F460" s="83">
        <v>4.325</v>
      </c>
      <c r="G460" s="83">
        <v>6.4</v>
      </c>
      <c r="H460" s="83">
        <v>3.904</v>
      </c>
      <c r="I460" s="84">
        <v>2254.53</v>
      </c>
      <c r="J460" s="83">
        <v>14.6</v>
      </c>
      <c r="K460" s="84">
        <v>2254.5</v>
      </c>
      <c r="L460" s="85">
        <f t="shared" si="94"/>
        <v>0.0064759370148591705</v>
      </c>
      <c r="M460" s="86">
        <v>225</v>
      </c>
      <c r="N460" s="86">
        <f t="shared" si="95"/>
        <v>1.4570858283433135</v>
      </c>
      <c r="O460" s="86">
        <f t="shared" si="96"/>
        <v>388.55622089155025</v>
      </c>
      <c r="P460" s="86">
        <f t="shared" si="97"/>
        <v>87.42514970059881</v>
      </c>
      <c r="R460" s="10"/>
      <c r="S460" s="10"/>
    </row>
    <row r="461" spans="1:19" s="9" customFormat="1" ht="12.75">
      <c r="A461" s="180"/>
      <c r="B461" s="82" t="s">
        <v>139</v>
      </c>
      <c r="C461" s="97">
        <v>6</v>
      </c>
      <c r="D461" s="97">
        <v>1932</v>
      </c>
      <c r="E461" s="83">
        <v>3.261</v>
      </c>
      <c r="F461" s="83">
        <v>0.841</v>
      </c>
      <c r="G461" s="83"/>
      <c r="H461" s="83">
        <f>E461-F461-G461</f>
        <v>2.42</v>
      </c>
      <c r="I461" s="84">
        <v>373.58</v>
      </c>
      <c r="J461" s="83">
        <f>H461</f>
        <v>2.42</v>
      </c>
      <c r="K461" s="84">
        <f>I461</f>
        <v>373.58</v>
      </c>
      <c r="L461" s="85">
        <f t="shared" si="94"/>
        <v>0.00647786284062316</v>
      </c>
      <c r="M461" s="86">
        <v>288.2</v>
      </c>
      <c r="N461" s="86">
        <f t="shared" si="95"/>
        <v>1.8669200706675946</v>
      </c>
      <c r="O461" s="86">
        <f t="shared" si="96"/>
        <v>388.67177043738957</v>
      </c>
      <c r="P461" s="86">
        <f t="shared" si="97"/>
        <v>112.01520424005567</v>
      </c>
      <c r="R461" s="10"/>
      <c r="S461" s="10"/>
    </row>
    <row r="462" spans="1:19" s="9" customFormat="1" ht="12.75">
      <c r="A462" s="180"/>
      <c r="B462" s="113" t="s">
        <v>251</v>
      </c>
      <c r="C462" s="114">
        <v>13</v>
      </c>
      <c r="D462" s="97">
        <v>1963</v>
      </c>
      <c r="E462" s="83">
        <f>+F462+G462+H462</f>
        <v>5.743815</v>
      </c>
      <c r="F462" s="115">
        <v>0.59026</v>
      </c>
      <c r="G462" s="115">
        <v>2</v>
      </c>
      <c r="H462" s="115">
        <v>3.1535550000000003</v>
      </c>
      <c r="I462" s="116">
        <v>846.44</v>
      </c>
      <c r="J462" s="115">
        <v>3.1535550000000003</v>
      </c>
      <c r="K462" s="116">
        <v>485.54</v>
      </c>
      <c r="L462" s="85">
        <f>+J462/K462</f>
        <v>0.006494943773942415</v>
      </c>
      <c r="M462" s="86">
        <v>312.83</v>
      </c>
      <c r="N462" s="86">
        <f>+L462*M462</f>
        <v>2.0318132608024055</v>
      </c>
      <c r="O462" s="86">
        <f>+L462*60*1000</f>
        <v>389.6966264365449</v>
      </c>
      <c r="P462" s="86">
        <f>+N462*60</f>
        <v>121.90879564814433</v>
      </c>
      <c r="R462" s="10"/>
      <c r="S462" s="10"/>
    </row>
    <row r="463" spans="1:19" s="9" customFormat="1" ht="12.75" customHeight="1">
      <c r="A463" s="180"/>
      <c r="B463" s="82" t="s">
        <v>97</v>
      </c>
      <c r="C463" s="97">
        <v>118</v>
      </c>
      <c r="D463" s="97">
        <v>1961</v>
      </c>
      <c r="E463" s="83">
        <v>27.32</v>
      </c>
      <c r="F463" s="83">
        <v>10.28</v>
      </c>
      <c r="G463" s="83"/>
      <c r="H463" s="83">
        <f>E463-F463-G463</f>
        <v>17.04</v>
      </c>
      <c r="I463" s="84">
        <v>2622</v>
      </c>
      <c r="J463" s="83">
        <f>H463/I463*K463</f>
        <v>16.299130434782608</v>
      </c>
      <c r="K463" s="97">
        <v>2508</v>
      </c>
      <c r="L463" s="85">
        <f aca="true" t="shared" si="98" ref="L463:L493">J463/K463</f>
        <v>0.006498855835240274</v>
      </c>
      <c r="M463" s="86">
        <v>332.56</v>
      </c>
      <c r="N463" s="86">
        <f aca="true" t="shared" si="99" ref="N463:N493">L463*M463</f>
        <v>2.1612594965675056</v>
      </c>
      <c r="O463" s="86">
        <f aca="true" t="shared" si="100" ref="O463:O509">L463*60*1000</f>
        <v>389.93135011441643</v>
      </c>
      <c r="P463" s="86">
        <f>O463*M463/1000</f>
        <v>129.67556979405032</v>
      </c>
      <c r="R463" s="10"/>
      <c r="S463" s="10"/>
    </row>
    <row r="464" spans="1:19" s="9" customFormat="1" ht="12.75">
      <c r="A464" s="180"/>
      <c r="B464" s="82" t="s">
        <v>56</v>
      </c>
      <c r="C464" s="97">
        <v>40</v>
      </c>
      <c r="D464" s="97">
        <v>1960</v>
      </c>
      <c r="E464" s="83">
        <v>14.711</v>
      </c>
      <c r="F464" s="83">
        <v>4.554855</v>
      </c>
      <c r="G464" s="83">
        <v>0.4</v>
      </c>
      <c r="H464" s="83">
        <v>9.756148</v>
      </c>
      <c r="I464" s="84">
        <v>1500.19</v>
      </c>
      <c r="J464" s="83">
        <f>H464</f>
        <v>9.756148</v>
      </c>
      <c r="K464" s="84">
        <v>1500.19</v>
      </c>
      <c r="L464" s="85">
        <f t="shared" si="98"/>
        <v>0.0065032749185103215</v>
      </c>
      <c r="M464" s="86">
        <v>307.38</v>
      </c>
      <c r="N464" s="86">
        <f t="shared" si="99"/>
        <v>1.9989766444517025</v>
      </c>
      <c r="O464" s="86">
        <f t="shared" si="100"/>
        <v>390.19649511061925</v>
      </c>
      <c r="P464" s="86">
        <f>N464*60</f>
        <v>119.93859866710216</v>
      </c>
      <c r="R464" s="10"/>
      <c r="S464" s="10"/>
    </row>
    <row r="465" spans="1:16" s="9" customFormat="1" ht="12.75" customHeight="1">
      <c r="A465" s="180"/>
      <c r="B465" s="82" t="s">
        <v>638</v>
      </c>
      <c r="C465" s="97">
        <v>40</v>
      </c>
      <c r="D465" s="97" t="s">
        <v>31</v>
      </c>
      <c r="E465" s="83">
        <f>SUM(F465:H465)</f>
        <v>13.200000000000001</v>
      </c>
      <c r="F465" s="83">
        <v>0.1</v>
      </c>
      <c r="G465" s="83">
        <v>0.2</v>
      </c>
      <c r="H465" s="83">
        <v>12.9</v>
      </c>
      <c r="I465" s="84">
        <v>2016.05</v>
      </c>
      <c r="J465" s="83">
        <v>12.9</v>
      </c>
      <c r="K465" s="84">
        <v>1972.36</v>
      </c>
      <c r="L465" s="157">
        <f t="shared" si="98"/>
        <v>0.006540388164432457</v>
      </c>
      <c r="M465" s="158">
        <v>209.8</v>
      </c>
      <c r="N465" s="159">
        <f t="shared" si="99"/>
        <v>1.3721734368979295</v>
      </c>
      <c r="O465" s="159">
        <f t="shared" si="100"/>
        <v>392.42328986594737</v>
      </c>
      <c r="P465" s="159">
        <f aca="true" t="shared" si="101" ref="P465:P484">O465*M465/1000</f>
        <v>82.33040621387576</v>
      </c>
    </row>
    <row r="466" spans="1:19" s="9" customFormat="1" ht="12.75">
      <c r="A466" s="180"/>
      <c r="B466" s="118" t="s">
        <v>858</v>
      </c>
      <c r="C466" s="97">
        <v>6</v>
      </c>
      <c r="D466" s="97" t="s">
        <v>31</v>
      </c>
      <c r="E466" s="83">
        <v>1.2</v>
      </c>
      <c r="F466" s="83"/>
      <c r="G466" s="83"/>
      <c r="H466" s="83">
        <f>+E466</f>
        <v>1.2</v>
      </c>
      <c r="I466" s="126"/>
      <c r="J466" s="83">
        <f>+H466</f>
        <v>1.2</v>
      </c>
      <c r="K466" s="84">
        <v>183.02</v>
      </c>
      <c r="L466" s="85">
        <f t="shared" si="98"/>
        <v>0.006556660474265107</v>
      </c>
      <c r="M466" s="86">
        <v>347.8</v>
      </c>
      <c r="N466" s="86">
        <f t="shared" si="99"/>
        <v>2.2804065129494044</v>
      </c>
      <c r="O466" s="86">
        <f t="shared" si="100"/>
        <v>393.39962845590645</v>
      </c>
      <c r="P466" s="86">
        <f t="shared" si="101"/>
        <v>136.8243907769643</v>
      </c>
      <c r="R466" s="10"/>
      <c r="S466" s="10"/>
    </row>
    <row r="467" spans="1:19" s="9" customFormat="1" ht="12.75">
      <c r="A467" s="180"/>
      <c r="B467" s="82" t="s">
        <v>704</v>
      </c>
      <c r="C467" s="97">
        <v>64</v>
      </c>
      <c r="D467" s="97"/>
      <c r="E467" s="83">
        <v>33.9</v>
      </c>
      <c r="F467" s="83">
        <v>4</v>
      </c>
      <c r="G467" s="83">
        <v>10.1</v>
      </c>
      <c r="H467" s="83">
        <v>19.4</v>
      </c>
      <c r="I467" s="126"/>
      <c r="J467" s="83">
        <v>19.4</v>
      </c>
      <c r="K467" s="84">
        <v>2956</v>
      </c>
      <c r="L467" s="85">
        <f t="shared" si="98"/>
        <v>0.006562922868741542</v>
      </c>
      <c r="M467" s="86">
        <v>234.1</v>
      </c>
      <c r="N467" s="86">
        <f t="shared" si="99"/>
        <v>1.536380243572395</v>
      </c>
      <c r="O467" s="86">
        <f t="shared" si="100"/>
        <v>393.77537212449255</v>
      </c>
      <c r="P467" s="86">
        <f t="shared" si="101"/>
        <v>92.1828146143437</v>
      </c>
      <c r="Q467" s="11"/>
      <c r="R467" s="10"/>
      <c r="S467" s="10"/>
    </row>
    <row r="468" spans="1:19" s="9" customFormat="1" ht="12.75">
      <c r="A468" s="180"/>
      <c r="B468" s="82" t="s">
        <v>655</v>
      </c>
      <c r="C468" s="97">
        <v>51</v>
      </c>
      <c r="D468" s="97" t="s">
        <v>656</v>
      </c>
      <c r="E468" s="83">
        <v>17</v>
      </c>
      <c r="F468" s="83">
        <v>2.852</v>
      </c>
      <c r="G468" s="83">
        <v>7.84</v>
      </c>
      <c r="H468" s="83">
        <v>6.308</v>
      </c>
      <c r="I468" s="84">
        <v>2586.98</v>
      </c>
      <c r="J468" s="83">
        <v>17</v>
      </c>
      <c r="K468" s="84">
        <v>2587</v>
      </c>
      <c r="L468" s="85">
        <f t="shared" si="98"/>
        <v>0.006571318129107074</v>
      </c>
      <c r="M468" s="86">
        <v>225</v>
      </c>
      <c r="N468" s="86">
        <f t="shared" si="99"/>
        <v>1.4785465790490915</v>
      </c>
      <c r="O468" s="86">
        <f t="shared" si="100"/>
        <v>394.2790877464244</v>
      </c>
      <c r="P468" s="86">
        <f t="shared" si="101"/>
        <v>88.71279474294549</v>
      </c>
      <c r="R468" s="10"/>
      <c r="S468" s="10"/>
    </row>
    <row r="469" spans="1:22" s="9" customFormat="1" ht="12.75">
      <c r="A469" s="180"/>
      <c r="B469" s="118" t="s">
        <v>264</v>
      </c>
      <c r="C469" s="160">
        <v>24</v>
      </c>
      <c r="D469" s="160">
        <v>1960</v>
      </c>
      <c r="E469" s="83">
        <v>12.292</v>
      </c>
      <c r="F469" s="83">
        <v>1.122</v>
      </c>
      <c r="G469" s="83">
        <v>3.84</v>
      </c>
      <c r="H469" s="83">
        <v>7.33</v>
      </c>
      <c r="I469" s="84">
        <v>1110.04</v>
      </c>
      <c r="J469" s="83">
        <v>7.33</v>
      </c>
      <c r="K469" s="84">
        <v>1110.04</v>
      </c>
      <c r="L469" s="85">
        <f t="shared" si="98"/>
        <v>0.00660336564448128</v>
      </c>
      <c r="M469" s="86">
        <v>343.459</v>
      </c>
      <c r="N469" s="86">
        <f t="shared" si="99"/>
        <v>2.267985360887896</v>
      </c>
      <c r="O469" s="86">
        <f t="shared" si="100"/>
        <v>396.20193866887683</v>
      </c>
      <c r="P469" s="86">
        <f t="shared" si="101"/>
        <v>136.07912165327377</v>
      </c>
      <c r="Q469" s="10"/>
      <c r="R469" s="10"/>
      <c r="S469" s="10"/>
      <c r="T469" s="12"/>
      <c r="U469" s="13"/>
      <c r="V469" s="13"/>
    </row>
    <row r="470" spans="1:19" s="9" customFormat="1" ht="12.75">
      <c r="A470" s="180"/>
      <c r="B470" s="82" t="s">
        <v>639</v>
      </c>
      <c r="C470" s="97">
        <v>40</v>
      </c>
      <c r="D470" s="97" t="s">
        <v>31</v>
      </c>
      <c r="E470" s="83">
        <f>SUM(F470:H470)</f>
        <v>26</v>
      </c>
      <c r="F470" s="83">
        <v>4.5</v>
      </c>
      <c r="G470" s="83">
        <v>6.4</v>
      </c>
      <c r="H470" s="83">
        <v>15.1</v>
      </c>
      <c r="I470" s="84">
        <v>2278.59</v>
      </c>
      <c r="J470" s="83">
        <v>15.1</v>
      </c>
      <c r="K470" s="84">
        <v>2278.59</v>
      </c>
      <c r="L470" s="157">
        <f t="shared" si="98"/>
        <v>0.0066269052352551355</v>
      </c>
      <c r="M470" s="158">
        <v>209.8</v>
      </c>
      <c r="N470" s="159">
        <f t="shared" si="99"/>
        <v>1.3903247183565275</v>
      </c>
      <c r="O470" s="159">
        <f t="shared" si="100"/>
        <v>397.6143141153081</v>
      </c>
      <c r="P470" s="159">
        <f t="shared" si="101"/>
        <v>83.41948310139163</v>
      </c>
      <c r="R470" s="10"/>
      <c r="S470" s="10"/>
    </row>
    <row r="471" spans="1:19" s="9" customFormat="1" ht="12.75">
      <c r="A471" s="180"/>
      <c r="B471" s="82" t="s">
        <v>98</v>
      </c>
      <c r="C471" s="97">
        <v>92</v>
      </c>
      <c r="D471" s="97">
        <v>1991</v>
      </c>
      <c r="E471" s="83">
        <v>48.82</v>
      </c>
      <c r="F471" s="83">
        <v>9</v>
      </c>
      <c r="G471" s="83">
        <v>15.12</v>
      </c>
      <c r="H471" s="83">
        <f>E471-F471-G471</f>
        <v>24.700000000000003</v>
      </c>
      <c r="I471" s="84">
        <v>3720.6</v>
      </c>
      <c r="J471" s="83">
        <f>H471/I471*K471</f>
        <v>23.540880503144656</v>
      </c>
      <c r="K471" s="97">
        <v>3546</v>
      </c>
      <c r="L471" s="85">
        <f t="shared" si="98"/>
        <v>0.006638714185883998</v>
      </c>
      <c r="M471" s="86">
        <v>332.56</v>
      </c>
      <c r="N471" s="86">
        <f t="shared" si="99"/>
        <v>2.2077707896575824</v>
      </c>
      <c r="O471" s="86">
        <f t="shared" si="100"/>
        <v>398.3228511530399</v>
      </c>
      <c r="P471" s="86">
        <f t="shared" si="101"/>
        <v>132.46624737945496</v>
      </c>
      <c r="R471" s="10"/>
      <c r="S471" s="10"/>
    </row>
    <row r="472" spans="1:19" s="9" customFormat="1" ht="12.75">
      <c r="A472" s="180"/>
      <c r="B472" s="82" t="s">
        <v>99</v>
      </c>
      <c r="C472" s="97">
        <v>19</v>
      </c>
      <c r="D472" s="97">
        <v>1959</v>
      </c>
      <c r="E472" s="83">
        <v>9.92</v>
      </c>
      <c r="F472" s="83">
        <v>3.2</v>
      </c>
      <c r="G472" s="83"/>
      <c r="H472" s="83">
        <f>E472-F472-G472</f>
        <v>6.72</v>
      </c>
      <c r="I472" s="84">
        <v>1005.8</v>
      </c>
      <c r="J472" s="83">
        <f>H472/I472*K472</f>
        <v>6.72</v>
      </c>
      <c r="K472" s="84">
        <v>1005.8</v>
      </c>
      <c r="L472" s="85">
        <f t="shared" si="98"/>
        <v>0.006681248757208193</v>
      </c>
      <c r="M472" s="86">
        <v>332.56</v>
      </c>
      <c r="N472" s="86">
        <f t="shared" si="99"/>
        <v>2.221916086697157</v>
      </c>
      <c r="O472" s="86">
        <f t="shared" si="100"/>
        <v>400.8749254324916</v>
      </c>
      <c r="P472" s="86">
        <f t="shared" si="101"/>
        <v>133.3149652018294</v>
      </c>
      <c r="R472" s="10"/>
      <c r="S472" s="10"/>
    </row>
    <row r="473" spans="1:25" s="9" customFormat="1" ht="12.75">
      <c r="A473" s="180"/>
      <c r="B473" s="82" t="s">
        <v>448</v>
      </c>
      <c r="C473" s="97">
        <v>12</v>
      </c>
      <c r="D473" s="97">
        <v>1968</v>
      </c>
      <c r="E473" s="83">
        <f>SUM(F473:H473)</f>
        <v>6.226</v>
      </c>
      <c r="F473" s="83">
        <v>1.12707</v>
      </c>
      <c r="G473" s="83">
        <v>0.25</v>
      </c>
      <c r="H473" s="83">
        <v>4.84893</v>
      </c>
      <c r="I473" s="84">
        <v>725.5</v>
      </c>
      <c r="J473" s="83">
        <v>4.84893</v>
      </c>
      <c r="K473" s="84">
        <v>725.5</v>
      </c>
      <c r="L473" s="85">
        <f t="shared" si="98"/>
        <v>0.006683569951757409</v>
      </c>
      <c r="M473" s="86">
        <v>316.536</v>
      </c>
      <c r="N473" s="86">
        <f t="shared" si="99"/>
        <v>2.1155904982494835</v>
      </c>
      <c r="O473" s="86">
        <f t="shared" si="100"/>
        <v>401.01419710544457</v>
      </c>
      <c r="P473" s="86">
        <f t="shared" si="101"/>
        <v>126.935429894969</v>
      </c>
      <c r="Q473" s="10"/>
      <c r="R473" s="10"/>
      <c r="S473" s="10"/>
      <c r="T473" s="12"/>
      <c r="U473" s="13"/>
      <c r="V473" s="13"/>
      <c r="X473" s="14"/>
      <c r="Y473" s="14"/>
    </row>
    <row r="474" spans="1:19" s="9" customFormat="1" ht="12.75">
      <c r="A474" s="180"/>
      <c r="B474" s="82" t="s">
        <v>705</v>
      </c>
      <c r="C474" s="97">
        <v>48</v>
      </c>
      <c r="D474" s="97"/>
      <c r="E474" s="83">
        <v>26.6</v>
      </c>
      <c r="F474" s="83">
        <v>2.9</v>
      </c>
      <c r="G474" s="83">
        <v>7.68</v>
      </c>
      <c r="H474" s="83">
        <v>16</v>
      </c>
      <c r="I474" s="126"/>
      <c r="J474" s="83">
        <v>16</v>
      </c>
      <c r="K474" s="84">
        <v>2393</v>
      </c>
      <c r="L474" s="85">
        <f t="shared" si="98"/>
        <v>0.006686167989970748</v>
      </c>
      <c r="M474" s="86">
        <v>234.1</v>
      </c>
      <c r="N474" s="86">
        <f t="shared" si="99"/>
        <v>1.5652319264521521</v>
      </c>
      <c r="O474" s="86">
        <f t="shared" si="100"/>
        <v>401.17007939824487</v>
      </c>
      <c r="P474" s="86">
        <f t="shared" si="101"/>
        <v>93.91391558712911</v>
      </c>
      <c r="R474" s="10"/>
      <c r="S474" s="10"/>
    </row>
    <row r="475" spans="1:19" s="9" customFormat="1" ht="12.75" customHeight="1">
      <c r="A475" s="180"/>
      <c r="B475" s="82" t="s">
        <v>449</v>
      </c>
      <c r="C475" s="97">
        <v>43</v>
      </c>
      <c r="D475" s="97">
        <v>1986</v>
      </c>
      <c r="E475" s="83">
        <f>SUM(F475:H475)</f>
        <v>17.47</v>
      </c>
      <c r="F475" s="83">
        <v>2.917072</v>
      </c>
      <c r="G475" s="83">
        <v>4.67</v>
      </c>
      <c r="H475" s="83">
        <v>9.882928</v>
      </c>
      <c r="I475" s="84">
        <v>1472.24</v>
      </c>
      <c r="J475" s="83">
        <v>9.882928</v>
      </c>
      <c r="K475" s="84">
        <v>1472.24</v>
      </c>
      <c r="L475" s="85">
        <f t="shared" si="98"/>
        <v>0.00671285116557083</v>
      </c>
      <c r="M475" s="86">
        <v>316.536</v>
      </c>
      <c r="N475" s="86">
        <f t="shared" si="99"/>
        <v>2.1248590565451284</v>
      </c>
      <c r="O475" s="86">
        <f t="shared" si="100"/>
        <v>402.77106993424985</v>
      </c>
      <c r="P475" s="86">
        <f t="shared" si="101"/>
        <v>127.49154339270771</v>
      </c>
      <c r="R475" s="10"/>
      <c r="S475" s="10"/>
    </row>
    <row r="476" spans="1:16" s="9" customFormat="1" ht="12.75" customHeight="1">
      <c r="A476" s="180"/>
      <c r="B476" s="82" t="s">
        <v>140</v>
      </c>
      <c r="C476" s="97">
        <v>20</v>
      </c>
      <c r="D476" s="97">
        <v>2001</v>
      </c>
      <c r="E476" s="83">
        <v>12.01</v>
      </c>
      <c r="F476" s="83">
        <v>3.04592</v>
      </c>
      <c r="G476" s="83">
        <v>1.9428</v>
      </c>
      <c r="H476" s="83">
        <f>E476-F476-G476</f>
        <v>7.021279999999999</v>
      </c>
      <c r="I476" s="84">
        <v>1040.25</v>
      </c>
      <c r="J476" s="83">
        <f>H476</f>
        <v>7.021279999999999</v>
      </c>
      <c r="K476" s="84">
        <f>I476</f>
        <v>1040.25</v>
      </c>
      <c r="L476" s="85">
        <f t="shared" si="98"/>
        <v>0.00674960826724345</v>
      </c>
      <c r="M476" s="86">
        <v>288.2</v>
      </c>
      <c r="N476" s="86">
        <f t="shared" si="99"/>
        <v>1.9452371026195623</v>
      </c>
      <c r="O476" s="86">
        <f t="shared" si="100"/>
        <v>404.976496034607</v>
      </c>
      <c r="P476" s="86">
        <f t="shared" si="101"/>
        <v>116.71422615717373</v>
      </c>
    </row>
    <row r="477" spans="1:19" s="9" customFormat="1" ht="12.75">
      <c r="A477" s="180"/>
      <c r="B477" s="124" t="s">
        <v>402</v>
      </c>
      <c r="C477" s="161">
        <v>16</v>
      </c>
      <c r="D477" s="162">
        <v>1989</v>
      </c>
      <c r="E477" s="163">
        <f>F477+G477+H477</f>
        <v>7.3036900000000005</v>
      </c>
      <c r="F477" s="164">
        <v>0</v>
      </c>
      <c r="G477" s="164">
        <v>0</v>
      </c>
      <c r="H477" s="164">
        <v>7.3036900000000005</v>
      </c>
      <c r="I477" s="165">
        <v>1146.81</v>
      </c>
      <c r="J477" s="164">
        <v>7.3036900000000005</v>
      </c>
      <c r="K477" s="165">
        <v>1079.49</v>
      </c>
      <c r="L477" s="166">
        <f t="shared" si="98"/>
        <v>0.0067658709205272866</v>
      </c>
      <c r="M477" s="167">
        <v>315.01</v>
      </c>
      <c r="N477" s="167">
        <f t="shared" si="99"/>
        <v>2.1313169986753007</v>
      </c>
      <c r="O477" s="167">
        <f t="shared" si="100"/>
        <v>405.9522552316372</v>
      </c>
      <c r="P477" s="167">
        <f t="shared" si="101"/>
        <v>127.87901992051802</v>
      </c>
      <c r="R477" s="10"/>
      <c r="S477" s="10"/>
    </row>
    <row r="478" spans="1:19" s="9" customFormat="1" ht="12.75">
      <c r="A478" s="180"/>
      <c r="B478" s="82" t="s">
        <v>776</v>
      </c>
      <c r="C478" s="97">
        <v>90</v>
      </c>
      <c r="D478" s="97" t="s">
        <v>534</v>
      </c>
      <c r="E478" s="83">
        <f>+F478+G478+H478</f>
        <v>48.129999999999995</v>
      </c>
      <c r="F478" s="83">
        <v>6.6</v>
      </c>
      <c r="G478" s="83">
        <v>11.49</v>
      </c>
      <c r="H478" s="83">
        <v>30.04</v>
      </c>
      <c r="I478" s="84">
        <v>4437.58</v>
      </c>
      <c r="J478" s="83">
        <v>30.04</v>
      </c>
      <c r="K478" s="84">
        <v>4437.58</v>
      </c>
      <c r="L478" s="85">
        <f t="shared" si="98"/>
        <v>0.006769455423902217</v>
      </c>
      <c r="M478" s="86">
        <v>276.9</v>
      </c>
      <c r="N478" s="86">
        <f t="shared" si="99"/>
        <v>1.8744622068785237</v>
      </c>
      <c r="O478" s="86">
        <f t="shared" si="100"/>
        <v>406.16732543413303</v>
      </c>
      <c r="P478" s="86">
        <f t="shared" si="101"/>
        <v>112.46773241271143</v>
      </c>
      <c r="R478" s="10"/>
      <c r="S478" s="10"/>
    </row>
    <row r="479" spans="1:19" s="9" customFormat="1" ht="12.75">
      <c r="A479" s="180"/>
      <c r="B479" s="95" t="s">
        <v>171</v>
      </c>
      <c r="C479" s="96">
        <v>60</v>
      </c>
      <c r="D479" s="97" t="s">
        <v>31</v>
      </c>
      <c r="E479" s="98">
        <v>32.13</v>
      </c>
      <c r="F479" s="98">
        <v>5.98</v>
      </c>
      <c r="G479" s="98">
        <v>9.6</v>
      </c>
      <c r="H479" s="98">
        <v>16.55</v>
      </c>
      <c r="I479" s="96">
        <v>2425.09</v>
      </c>
      <c r="J479" s="98">
        <v>16.55</v>
      </c>
      <c r="K479" s="96">
        <v>2425.09</v>
      </c>
      <c r="L479" s="85">
        <f t="shared" si="98"/>
        <v>0.006824488988037557</v>
      </c>
      <c r="M479" s="86">
        <v>256</v>
      </c>
      <c r="N479" s="86">
        <f t="shared" si="99"/>
        <v>1.7470691809376147</v>
      </c>
      <c r="O479" s="86">
        <f t="shared" si="100"/>
        <v>409.46933928225343</v>
      </c>
      <c r="P479" s="86">
        <f t="shared" si="101"/>
        <v>104.82415085625688</v>
      </c>
      <c r="R479" s="10"/>
      <c r="S479" s="10"/>
    </row>
    <row r="480" spans="1:19" s="9" customFormat="1" ht="12.75">
      <c r="A480" s="180"/>
      <c r="B480" s="82" t="s">
        <v>330</v>
      </c>
      <c r="C480" s="97">
        <v>45</v>
      </c>
      <c r="D480" s="97">
        <v>1972</v>
      </c>
      <c r="E480" s="83">
        <v>23.369003</v>
      </c>
      <c r="F480" s="83">
        <v>3.57765</v>
      </c>
      <c r="G480" s="83">
        <v>7.2</v>
      </c>
      <c r="H480" s="83">
        <v>12.591353</v>
      </c>
      <c r="I480" s="84">
        <v>1840.92</v>
      </c>
      <c r="J480" s="83">
        <v>12.591353</v>
      </c>
      <c r="K480" s="84">
        <v>1840.92</v>
      </c>
      <c r="L480" s="85">
        <f t="shared" si="98"/>
        <v>0.006839706777046259</v>
      </c>
      <c r="M480" s="86">
        <v>247.6</v>
      </c>
      <c r="N480" s="86">
        <f t="shared" si="99"/>
        <v>1.6935113979966536</v>
      </c>
      <c r="O480" s="86">
        <f t="shared" si="100"/>
        <v>410.38240662277553</v>
      </c>
      <c r="P480" s="86">
        <f t="shared" si="101"/>
        <v>101.61068387979923</v>
      </c>
      <c r="R480" s="10"/>
      <c r="S480" s="10"/>
    </row>
    <row r="481" spans="1:19" s="9" customFormat="1" ht="12.75">
      <c r="A481" s="180"/>
      <c r="B481" s="124" t="s">
        <v>403</v>
      </c>
      <c r="C481" s="161">
        <v>13</v>
      </c>
      <c r="D481" s="162">
        <v>1968</v>
      </c>
      <c r="E481" s="163">
        <f>F481+G481+H481</f>
        <v>3.5225020000000002</v>
      </c>
      <c r="F481" s="164">
        <v>0</v>
      </c>
      <c r="G481" s="164">
        <v>0</v>
      </c>
      <c r="H481" s="164">
        <v>3.5225020000000002</v>
      </c>
      <c r="I481" s="165">
        <v>1020.08</v>
      </c>
      <c r="J481" s="164">
        <v>3.5225020000000002</v>
      </c>
      <c r="K481" s="165">
        <v>514.91</v>
      </c>
      <c r="L481" s="166">
        <f t="shared" si="98"/>
        <v>0.0068410052242139415</v>
      </c>
      <c r="M481" s="167">
        <v>315.01</v>
      </c>
      <c r="N481" s="167">
        <f t="shared" si="99"/>
        <v>2.1549850556796337</v>
      </c>
      <c r="O481" s="167">
        <f t="shared" si="100"/>
        <v>410.4603134528365</v>
      </c>
      <c r="P481" s="167">
        <f t="shared" si="101"/>
        <v>129.29910334077803</v>
      </c>
      <c r="R481" s="10"/>
      <c r="S481" s="10"/>
    </row>
    <row r="482" spans="1:19" s="9" customFormat="1" ht="12.75">
      <c r="A482" s="180"/>
      <c r="B482" s="82" t="s">
        <v>640</v>
      </c>
      <c r="C482" s="97">
        <v>45</v>
      </c>
      <c r="D482" s="97" t="s">
        <v>31</v>
      </c>
      <c r="E482" s="83">
        <f>SUM(F482:H482)</f>
        <v>27</v>
      </c>
      <c r="F482" s="83">
        <v>3.7</v>
      </c>
      <c r="G482" s="83">
        <v>7.3</v>
      </c>
      <c r="H482" s="83">
        <v>16</v>
      </c>
      <c r="I482" s="84">
        <v>2336.24</v>
      </c>
      <c r="J482" s="83">
        <v>16</v>
      </c>
      <c r="K482" s="84">
        <v>2336.24</v>
      </c>
      <c r="L482" s="157">
        <f t="shared" si="98"/>
        <v>0.006848611444029724</v>
      </c>
      <c r="M482" s="158">
        <v>209.8</v>
      </c>
      <c r="N482" s="159">
        <f t="shared" si="99"/>
        <v>1.436838680957436</v>
      </c>
      <c r="O482" s="159">
        <f t="shared" si="100"/>
        <v>410.91668664178343</v>
      </c>
      <c r="P482" s="159">
        <f t="shared" si="101"/>
        <v>86.21032085744618</v>
      </c>
      <c r="R482" s="10"/>
      <c r="S482" s="10"/>
    </row>
    <row r="483" spans="1:19" s="9" customFormat="1" ht="12.75">
      <c r="A483" s="180"/>
      <c r="B483" s="118" t="s">
        <v>859</v>
      </c>
      <c r="C483" s="160">
        <v>4</v>
      </c>
      <c r="D483" s="160" t="s">
        <v>31</v>
      </c>
      <c r="E483" s="83">
        <v>1.738</v>
      </c>
      <c r="F483" s="83"/>
      <c r="G483" s="83"/>
      <c r="H483" s="83">
        <f>+E483</f>
        <v>1.738</v>
      </c>
      <c r="I483" s="126"/>
      <c r="J483" s="83">
        <f>+H483</f>
        <v>1.738</v>
      </c>
      <c r="K483" s="84">
        <v>253.29</v>
      </c>
      <c r="L483" s="85">
        <f t="shared" si="98"/>
        <v>0.0068617000276363065</v>
      </c>
      <c r="M483" s="86">
        <v>347.8</v>
      </c>
      <c r="N483" s="86">
        <f t="shared" si="99"/>
        <v>2.3864992696119076</v>
      </c>
      <c r="O483" s="86">
        <f t="shared" si="100"/>
        <v>411.7020016581784</v>
      </c>
      <c r="P483" s="86">
        <f t="shared" si="101"/>
        <v>143.18995617671445</v>
      </c>
      <c r="R483" s="10"/>
      <c r="S483" s="10"/>
    </row>
    <row r="484" spans="1:23" s="9" customFormat="1" ht="12.75">
      <c r="A484" s="180"/>
      <c r="B484" s="82" t="s">
        <v>203</v>
      </c>
      <c r="C484" s="97">
        <v>62</v>
      </c>
      <c r="D484" s="97">
        <v>1968</v>
      </c>
      <c r="E484" s="83">
        <v>33.155</v>
      </c>
      <c r="F484" s="83">
        <v>4.759</v>
      </c>
      <c r="G484" s="83">
        <v>9.6</v>
      </c>
      <c r="H484" s="83">
        <f>E484-F484-G484</f>
        <v>18.796</v>
      </c>
      <c r="I484" s="84">
        <v>2734.27</v>
      </c>
      <c r="J484" s="83">
        <v>18.796</v>
      </c>
      <c r="K484" s="84">
        <v>2734.27</v>
      </c>
      <c r="L484" s="85">
        <f t="shared" si="98"/>
        <v>0.006874229684705606</v>
      </c>
      <c r="M484" s="86">
        <v>267.81</v>
      </c>
      <c r="N484" s="86">
        <f t="shared" si="99"/>
        <v>1.8409874518610085</v>
      </c>
      <c r="O484" s="86">
        <f t="shared" si="100"/>
        <v>412.4537810823364</v>
      </c>
      <c r="P484" s="86">
        <f t="shared" si="101"/>
        <v>110.4592471116605</v>
      </c>
      <c r="Q484" s="10"/>
      <c r="R484" s="10"/>
      <c r="S484" s="10"/>
      <c r="T484" s="12"/>
      <c r="U484" s="13"/>
      <c r="V484" s="13"/>
      <c r="W484" s="14"/>
    </row>
    <row r="485" spans="1:19" s="9" customFormat="1" ht="12.75" customHeight="1">
      <c r="A485" s="180"/>
      <c r="B485" s="82" t="s">
        <v>57</v>
      </c>
      <c r="C485" s="97">
        <v>38</v>
      </c>
      <c r="D485" s="97" t="s">
        <v>31</v>
      </c>
      <c r="E485" s="83">
        <v>26.314</v>
      </c>
      <c r="F485" s="83">
        <v>4.637791</v>
      </c>
      <c r="G485" s="83">
        <v>6</v>
      </c>
      <c r="H485" s="83">
        <v>15.676211</v>
      </c>
      <c r="I485" s="84">
        <v>2277.52</v>
      </c>
      <c r="J485" s="83">
        <f>H485</f>
        <v>15.676211</v>
      </c>
      <c r="K485" s="84">
        <v>2277.52</v>
      </c>
      <c r="L485" s="85">
        <f t="shared" si="98"/>
        <v>0.006883017931785451</v>
      </c>
      <c r="M485" s="86">
        <v>307.38</v>
      </c>
      <c r="N485" s="86">
        <f t="shared" si="99"/>
        <v>2.115702051872212</v>
      </c>
      <c r="O485" s="86">
        <f t="shared" si="100"/>
        <v>412.9810759071271</v>
      </c>
      <c r="P485" s="86">
        <f>N485*60</f>
        <v>126.94212311233272</v>
      </c>
      <c r="R485" s="10"/>
      <c r="S485" s="10"/>
    </row>
    <row r="486" spans="1:19" s="9" customFormat="1" ht="12.75" customHeight="1">
      <c r="A486" s="180"/>
      <c r="B486" s="82" t="s">
        <v>806</v>
      </c>
      <c r="C486" s="97">
        <v>22</v>
      </c>
      <c r="D486" s="97">
        <v>1977</v>
      </c>
      <c r="E486" s="83">
        <v>13.405</v>
      </c>
      <c r="F486" s="83">
        <v>2.095</v>
      </c>
      <c r="G486" s="83">
        <v>3.52</v>
      </c>
      <c r="H486" s="83">
        <v>7.789</v>
      </c>
      <c r="I486" s="126" t="s">
        <v>801</v>
      </c>
      <c r="J486" s="83">
        <v>7.789</v>
      </c>
      <c r="K486" s="84">
        <v>1130.15</v>
      </c>
      <c r="L486" s="85">
        <f t="shared" si="98"/>
        <v>0.006892005485997433</v>
      </c>
      <c r="M486" s="86">
        <v>354.25</v>
      </c>
      <c r="N486" s="86">
        <f t="shared" si="99"/>
        <v>2.4414929434145907</v>
      </c>
      <c r="O486" s="86">
        <f t="shared" si="100"/>
        <v>413.52032915984597</v>
      </c>
      <c r="P486" s="86">
        <f>O486*M486/1000</f>
        <v>146.48957660487545</v>
      </c>
      <c r="R486" s="10"/>
      <c r="S486" s="10"/>
    </row>
    <row r="487" spans="1:19" s="9" customFormat="1" ht="12.75" customHeight="1">
      <c r="A487" s="180"/>
      <c r="B487" s="82" t="s">
        <v>706</v>
      </c>
      <c r="C487" s="97">
        <v>48</v>
      </c>
      <c r="D487" s="97"/>
      <c r="E487" s="83">
        <v>24.4</v>
      </c>
      <c r="F487" s="83">
        <v>0.9</v>
      </c>
      <c r="G487" s="83">
        <v>7.68</v>
      </c>
      <c r="H487" s="83">
        <v>15.9</v>
      </c>
      <c r="I487" s="126"/>
      <c r="J487" s="83">
        <v>15.9</v>
      </c>
      <c r="K487" s="84">
        <v>2297</v>
      </c>
      <c r="L487" s="85">
        <f t="shared" si="98"/>
        <v>0.006922072268175882</v>
      </c>
      <c r="M487" s="86">
        <v>234.1</v>
      </c>
      <c r="N487" s="86">
        <f t="shared" si="99"/>
        <v>1.620457117979974</v>
      </c>
      <c r="O487" s="86">
        <f t="shared" si="100"/>
        <v>415.3243360905529</v>
      </c>
      <c r="P487" s="86">
        <f>O487*M487/1000</f>
        <v>97.22742707879843</v>
      </c>
      <c r="R487" s="10"/>
      <c r="S487" s="10"/>
    </row>
    <row r="488" spans="1:19" s="9" customFormat="1" ht="12.75" customHeight="1">
      <c r="A488" s="180"/>
      <c r="B488" s="82" t="s">
        <v>58</v>
      </c>
      <c r="C488" s="97">
        <v>4</v>
      </c>
      <c r="D488" s="97">
        <v>1963</v>
      </c>
      <c r="E488" s="83">
        <v>2.038</v>
      </c>
      <c r="F488" s="83">
        <v>1.01992</v>
      </c>
      <c r="G488" s="83">
        <v>0</v>
      </c>
      <c r="H488" s="83">
        <v>1.018081</v>
      </c>
      <c r="I488" s="84">
        <v>146.98</v>
      </c>
      <c r="J488" s="83">
        <f>H488</f>
        <v>1.018081</v>
      </c>
      <c r="K488" s="84">
        <v>146.98</v>
      </c>
      <c r="L488" s="85">
        <f t="shared" si="98"/>
        <v>0.0069266634916315154</v>
      </c>
      <c r="M488" s="86">
        <v>306.181</v>
      </c>
      <c r="N488" s="86">
        <f t="shared" si="99"/>
        <v>2.120812754531229</v>
      </c>
      <c r="O488" s="86">
        <f t="shared" si="100"/>
        <v>415.59980949789093</v>
      </c>
      <c r="P488" s="86">
        <f>N488*60</f>
        <v>127.24876527187374</v>
      </c>
      <c r="Q488" s="11"/>
      <c r="R488" s="10"/>
      <c r="S488" s="10"/>
    </row>
    <row r="489" spans="1:19" s="9" customFormat="1" ht="12.75" customHeight="1">
      <c r="A489" s="180"/>
      <c r="B489" s="82" t="s">
        <v>511</v>
      </c>
      <c r="C489" s="84">
        <v>36</v>
      </c>
      <c r="D489" s="97" t="s">
        <v>31</v>
      </c>
      <c r="E489" s="83">
        <f>F489+G489+H489</f>
        <v>26.110871</v>
      </c>
      <c r="F489" s="83">
        <v>4.08</v>
      </c>
      <c r="G489" s="83">
        <v>5.76</v>
      </c>
      <c r="H489" s="83">
        <v>16.270871</v>
      </c>
      <c r="I489" s="84">
        <v>2342.66</v>
      </c>
      <c r="J489" s="83">
        <v>16.270872</v>
      </c>
      <c r="K489" s="84">
        <v>2342.66</v>
      </c>
      <c r="L489" s="85">
        <f t="shared" si="98"/>
        <v>0.006945468826035362</v>
      </c>
      <c r="M489" s="86">
        <v>221.4</v>
      </c>
      <c r="N489" s="86">
        <f t="shared" si="99"/>
        <v>1.5377267980842293</v>
      </c>
      <c r="O489" s="86">
        <f t="shared" si="100"/>
        <v>416.72812956212175</v>
      </c>
      <c r="P489" s="86">
        <f>O489*M489/1000</f>
        <v>92.26360788505376</v>
      </c>
      <c r="R489" s="10"/>
      <c r="S489" s="10"/>
    </row>
    <row r="490" spans="1:19" s="9" customFormat="1" ht="12.75" customHeight="1">
      <c r="A490" s="180"/>
      <c r="B490" s="82" t="s">
        <v>807</v>
      </c>
      <c r="C490" s="97">
        <v>8</v>
      </c>
      <c r="D490" s="97">
        <v>1977</v>
      </c>
      <c r="E490" s="83">
        <v>6.039</v>
      </c>
      <c r="F490" s="83">
        <v>1.076</v>
      </c>
      <c r="G490" s="83">
        <v>1.28</v>
      </c>
      <c r="H490" s="83">
        <v>3.682</v>
      </c>
      <c r="I490" s="126" t="s">
        <v>801</v>
      </c>
      <c r="J490" s="83">
        <v>3.682</v>
      </c>
      <c r="K490" s="84">
        <v>530.1</v>
      </c>
      <c r="L490" s="85">
        <f t="shared" si="98"/>
        <v>0.006945859271835502</v>
      </c>
      <c r="M490" s="86">
        <v>354.25</v>
      </c>
      <c r="N490" s="86">
        <f t="shared" si="99"/>
        <v>2.4605706470477267</v>
      </c>
      <c r="O490" s="86">
        <f t="shared" si="100"/>
        <v>416.7515563101302</v>
      </c>
      <c r="P490" s="86">
        <f>O490*M490/1000</f>
        <v>147.6342388228636</v>
      </c>
      <c r="R490" s="10"/>
      <c r="S490" s="10"/>
    </row>
    <row r="491" spans="1:19" s="9" customFormat="1" ht="12.75" customHeight="1">
      <c r="A491" s="180"/>
      <c r="B491" s="82" t="s">
        <v>141</v>
      </c>
      <c r="C491" s="97">
        <v>14</v>
      </c>
      <c r="D491" s="97">
        <v>1959</v>
      </c>
      <c r="E491" s="83">
        <v>5.11806</v>
      </c>
      <c r="F491" s="83">
        <v>1.402</v>
      </c>
      <c r="G491" s="83"/>
      <c r="H491" s="83">
        <f>E491-F491-G491</f>
        <v>3.7160599999999997</v>
      </c>
      <c r="I491" s="84">
        <v>533.41</v>
      </c>
      <c r="J491" s="83">
        <f>H491</f>
        <v>3.7160599999999997</v>
      </c>
      <c r="K491" s="84">
        <f>I491</f>
        <v>533.41</v>
      </c>
      <c r="L491" s="85">
        <f t="shared" si="98"/>
        <v>0.006966611049661611</v>
      </c>
      <c r="M491" s="86">
        <v>288.2</v>
      </c>
      <c r="N491" s="86">
        <f t="shared" si="99"/>
        <v>2.007777304512476</v>
      </c>
      <c r="O491" s="86">
        <f t="shared" si="100"/>
        <v>417.9966629796967</v>
      </c>
      <c r="P491" s="86">
        <f>O491*M491/1000</f>
        <v>120.46663827074858</v>
      </c>
      <c r="Q491" s="11"/>
      <c r="R491" s="10"/>
      <c r="S491" s="10"/>
    </row>
    <row r="492" spans="1:19" s="9" customFormat="1" ht="12.75" customHeight="1">
      <c r="A492" s="180"/>
      <c r="B492" s="82" t="s">
        <v>59</v>
      </c>
      <c r="C492" s="97">
        <v>60</v>
      </c>
      <c r="D492" s="97">
        <v>1985</v>
      </c>
      <c r="E492" s="83">
        <v>39.632</v>
      </c>
      <c r="F492" s="83">
        <v>8.060804</v>
      </c>
      <c r="G492" s="83">
        <v>9.6</v>
      </c>
      <c r="H492" s="83">
        <v>22.293268</v>
      </c>
      <c r="I492" s="84">
        <v>3189.58</v>
      </c>
      <c r="J492" s="83">
        <f>H492</f>
        <v>22.293268</v>
      </c>
      <c r="K492" s="84">
        <v>3189.58</v>
      </c>
      <c r="L492" s="85">
        <f t="shared" si="98"/>
        <v>0.006989405501664796</v>
      </c>
      <c r="M492" s="86">
        <v>307.38</v>
      </c>
      <c r="N492" s="86">
        <f t="shared" si="99"/>
        <v>2.148403463101725</v>
      </c>
      <c r="O492" s="86">
        <f t="shared" si="100"/>
        <v>419.36433009988775</v>
      </c>
      <c r="P492" s="86">
        <f>N492*60</f>
        <v>128.9042077861035</v>
      </c>
      <c r="R492" s="10"/>
      <c r="S492" s="10"/>
    </row>
    <row r="493" spans="1:19" s="9" customFormat="1" ht="13.5" customHeight="1">
      <c r="A493" s="180"/>
      <c r="B493" s="82" t="s">
        <v>808</v>
      </c>
      <c r="C493" s="97">
        <v>20</v>
      </c>
      <c r="D493" s="97">
        <v>1973</v>
      </c>
      <c r="E493" s="83">
        <v>11.57</v>
      </c>
      <c r="F493" s="83">
        <v>1.812</v>
      </c>
      <c r="G493" s="83">
        <v>3.12</v>
      </c>
      <c r="H493" s="83">
        <v>6.637</v>
      </c>
      <c r="I493" s="126" t="s">
        <v>801</v>
      </c>
      <c r="J493" s="83">
        <v>6.637</v>
      </c>
      <c r="K493" s="84">
        <v>948.15</v>
      </c>
      <c r="L493" s="85">
        <f t="shared" si="98"/>
        <v>0.006999947265727996</v>
      </c>
      <c r="M493" s="86">
        <v>354.25</v>
      </c>
      <c r="N493" s="86">
        <f t="shared" si="99"/>
        <v>2.4797313188841428</v>
      </c>
      <c r="O493" s="86">
        <f t="shared" si="100"/>
        <v>419.99683594367974</v>
      </c>
      <c r="P493" s="86">
        <f>O493*M493/1000</f>
        <v>148.78387913304854</v>
      </c>
      <c r="R493" s="10"/>
      <c r="S493" s="10"/>
    </row>
    <row r="494" spans="1:19" s="9" customFormat="1" ht="11.25" customHeight="1">
      <c r="A494" s="180"/>
      <c r="B494" s="82" t="s">
        <v>824</v>
      </c>
      <c r="C494" s="97">
        <v>50</v>
      </c>
      <c r="D494" s="97">
        <v>1973</v>
      </c>
      <c r="E494" s="83">
        <f>SUM(F494+G494+H494)</f>
        <v>28.1</v>
      </c>
      <c r="F494" s="83">
        <v>2.7</v>
      </c>
      <c r="G494" s="83">
        <v>7.8</v>
      </c>
      <c r="H494" s="83">
        <v>17.6</v>
      </c>
      <c r="I494" s="84">
        <v>2510.26</v>
      </c>
      <c r="J494" s="83">
        <v>17.6</v>
      </c>
      <c r="K494" s="84">
        <v>2510.3</v>
      </c>
      <c r="L494" s="85">
        <f>SUM(J494/K494)</f>
        <v>0.007011114209457037</v>
      </c>
      <c r="M494" s="86">
        <v>214.3</v>
      </c>
      <c r="N494" s="86">
        <f>SUM(L494*M494)</f>
        <v>1.5024817750866433</v>
      </c>
      <c r="O494" s="86">
        <f t="shared" si="100"/>
        <v>420.66685256742227</v>
      </c>
      <c r="P494" s="86">
        <f>SUM(N494*60)</f>
        <v>90.1489065051986</v>
      </c>
      <c r="R494" s="10"/>
      <c r="S494" s="10"/>
    </row>
    <row r="495" spans="1:16" s="9" customFormat="1" ht="12.75" customHeight="1">
      <c r="A495" s="180"/>
      <c r="B495" s="82" t="s">
        <v>142</v>
      </c>
      <c r="C495" s="97">
        <v>31</v>
      </c>
      <c r="D495" s="97">
        <v>1988</v>
      </c>
      <c r="E495" s="83">
        <v>22.265</v>
      </c>
      <c r="F495" s="83">
        <v>5.312</v>
      </c>
      <c r="G495" s="83">
        <v>3</v>
      </c>
      <c r="H495" s="83">
        <f>E495-F495-G495</f>
        <v>13.953</v>
      </c>
      <c r="I495" s="84">
        <v>1987.96</v>
      </c>
      <c r="J495" s="83">
        <f>H495</f>
        <v>13.953</v>
      </c>
      <c r="K495" s="84">
        <f>I495</f>
        <v>1987.96</v>
      </c>
      <c r="L495" s="85">
        <f aca="true" t="shared" si="102" ref="L495:L503">J495/K495</f>
        <v>0.007018752892412322</v>
      </c>
      <c r="M495" s="86">
        <v>288.2</v>
      </c>
      <c r="N495" s="86">
        <f aca="true" t="shared" si="103" ref="N495:N503">L495*M495</f>
        <v>2.022804583593231</v>
      </c>
      <c r="O495" s="86">
        <f t="shared" si="100"/>
        <v>421.12517354473925</v>
      </c>
      <c r="P495" s="86">
        <f>O495*M495/1000</f>
        <v>121.36827501559385</v>
      </c>
    </row>
    <row r="496" spans="1:19" s="9" customFormat="1" ht="12.75" customHeight="1">
      <c r="A496" s="180"/>
      <c r="B496" s="82" t="s">
        <v>60</v>
      </c>
      <c r="C496" s="97">
        <v>145</v>
      </c>
      <c r="D496" s="97">
        <v>1980</v>
      </c>
      <c r="E496" s="83">
        <v>103.03</v>
      </c>
      <c r="F496" s="83">
        <v>20.913513</v>
      </c>
      <c r="G496" s="83">
        <v>22.88</v>
      </c>
      <c r="H496" s="83">
        <v>59.236466</v>
      </c>
      <c r="I496" s="84">
        <v>8328.31</v>
      </c>
      <c r="J496" s="83">
        <f>H496</f>
        <v>59.236466</v>
      </c>
      <c r="K496" s="84">
        <v>8328.31</v>
      </c>
      <c r="L496" s="85">
        <f t="shared" si="102"/>
        <v>0.007112663433517725</v>
      </c>
      <c r="M496" s="86">
        <v>307.38</v>
      </c>
      <c r="N496" s="86">
        <f t="shared" si="103"/>
        <v>2.1862904861946784</v>
      </c>
      <c r="O496" s="86">
        <f t="shared" si="100"/>
        <v>426.7598060110635</v>
      </c>
      <c r="P496" s="86">
        <f>N496*60</f>
        <v>131.1774291716807</v>
      </c>
      <c r="R496" s="10"/>
      <c r="S496" s="10"/>
    </row>
    <row r="497" spans="1:19" s="9" customFormat="1" ht="12.75" customHeight="1">
      <c r="A497" s="180"/>
      <c r="B497" s="82" t="s">
        <v>755</v>
      </c>
      <c r="C497" s="97">
        <v>9</v>
      </c>
      <c r="D497" s="97" t="s">
        <v>31</v>
      </c>
      <c r="E497" s="83">
        <f>F497+G497+H497</f>
        <v>6.707</v>
      </c>
      <c r="F497" s="83">
        <v>0.688</v>
      </c>
      <c r="G497" s="83">
        <v>1.92</v>
      </c>
      <c r="H497" s="83">
        <v>4.099</v>
      </c>
      <c r="I497" s="84">
        <v>679.32</v>
      </c>
      <c r="J497" s="83">
        <v>3.696</v>
      </c>
      <c r="K497" s="84">
        <v>519.08</v>
      </c>
      <c r="L497" s="85">
        <f t="shared" si="102"/>
        <v>0.007120289743392155</v>
      </c>
      <c r="M497" s="97">
        <v>361.99</v>
      </c>
      <c r="N497" s="86">
        <f t="shared" si="103"/>
        <v>2.5774736842105264</v>
      </c>
      <c r="O497" s="86">
        <f t="shared" si="100"/>
        <v>427.2173846035293</v>
      </c>
      <c r="P497" s="86">
        <f aca="true" t="shared" si="104" ref="P497:P503">O497*M497/1000</f>
        <v>154.64842105263156</v>
      </c>
      <c r="R497" s="10"/>
      <c r="S497" s="10"/>
    </row>
    <row r="498" spans="1:19" s="9" customFormat="1" ht="12.75" customHeight="1">
      <c r="A498" s="180"/>
      <c r="B498" s="82" t="s">
        <v>512</v>
      </c>
      <c r="C498" s="84">
        <v>20</v>
      </c>
      <c r="D498" s="97" t="s">
        <v>31</v>
      </c>
      <c r="E498" s="83">
        <f>F498+G498+H498</f>
        <v>16.388773999999998</v>
      </c>
      <c r="F498" s="83">
        <v>2.397</v>
      </c>
      <c r="G498" s="83">
        <v>3.2</v>
      </c>
      <c r="H498" s="83">
        <v>10.791774</v>
      </c>
      <c r="I498" s="84">
        <v>1514.56</v>
      </c>
      <c r="J498" s="83">
        <v>10.791774</v>
      </c>
      <c r="K498" s="84">
        <v>1514.56</v>
      </c>
      <c r="L498" s="85">
        <f t="shared" si="102"/>
        <v>0.007125352577646313</v>
      </c>
      <c r="M498" s="86">
        <v>221.4</v>
      </c>
      <c r="N498" s="86">
        <f t="shared" si="103"/>
        <v>1.5775530606908938</v>
      </c>
      <c r="O498" s="86">
        <f t="shared" si="100"/>
        <v>427.5211546587788</v>
      </c>
      <c r="P498" s="86">
        <f t="shared" si="104"/>
        <v>94.65318364145364</v>
      </c>
      <c r="Q498" s="11"/>
      <c r="R498" s="10"/>
      <c r="S498" s="10"/>
    </row>
    <row r="499" spans="1:19" s="9" customFormat="1" ht="12.75" customHeight="1">
      <c r="A499" s="180"/>
      <c r="B499" s="82" t="s">
        <v>513</v>
      </c>
      <c r="C499" s="84">
        <v>29</v>
      </c>
      <c r="D499" s="97" t="s">
        <v>31</v>
      </c>
      <c r="E499" s="83">
        <f>F499+G499+H499</f>
        <v>9.455</v>
      </c>
      <c r="F499" s="83">
        <v>0.102</v>
      </c>
      <c r="G499" s="83">
        <v>0.153552</v>
      </c>
      <c r="H499" s="83">
        <v>9.199448</v>
      </c>
      <c r="I499" s="84">
        <v>1288.78</v>
      </c>
      <c r="J499" s="83">
        <v>9.199448</v>
      </c>
      <c r="K499" s="84">
        <v>1288.78</v>
      </c>
      <c r="L499" s="85">
        <f t="shared" si="102"/>
        <v>0.007138105805490464</v>
      </c>
      <c r="M499" s="86">
        <v>221.4</v>
      </c>
      <c r="N499" s="86">
        <f t="shared" si="103"/>
        <v>1.5803766253355886</v>
      </c>
      <c r="O499" s="86">
        <f t="shared" si="100"/>
        <v>428.2863483294279</v>
      </c>
      <c r="P499" s="86">
        <f t="shared" si="104"/>
        <v>94.82259752013533</v>
      </c>
      <c r="R499" s="10"/>
      <c r="S499" s="10"/>
    </row>
    <row r="500" spans="1:19" s="9" customFormat="1" ht="12.75" customHeight="1">
      <c r="A500" s="180"/>
      <c r="B500" s="124" t="s">
        <v>404</v>
      </c>
      <c r="C500" s="161">
        <v>24</v>
      </c>
      <c r="D500" s="162">
        <v>1969</v>
      </c>
      <c r="E500" s="163">
        <f>F500+G500+H500</f>
        <v>12.097999999999999</v>
      </c>
      <c r="F500" s="164">
        <v>0.9690000000000001</v>
      </c>
      <c r="G500" s="164">
        <v>3.84</v>
      </c>
      <c r="H500" s="164">
        <v>7.289</v>
      </c>
      <c r="I500" s="165">
        <v>1020.69</v>
      </c>
      <c r="J500" s="164">
        <v>7.289</v>
      </c>
      <c r="K500" s="165">
        <v>1020.69</v>
      </c>
      <c r="L500" s="166">
        <f t="shared" si="102"/>
        <v>0.007141247587416355</v>
      </c>
      <c r="M500" s="167">
        <v>315.01</v>
      </c>
      <c r="N500" s="167">
        <f t="shared" si="103"/>
        <v>2.249564402512026</v>
      </c>
      <c r="O500" s="167">
        <f t="shared" si="100"/>
        <v>428.4748552449813</v>
      </c>
      <c r="P500" s="167">
        <f t="shared" si="104"/>
        <v>134.97386415072154</v>
      </c>
      <c r="R500" s="10"/>
      <c r="S500" s="10"/>
    </row>
    <row r="501" spans="1:19" s="9" customFormat="1" ht="12.75" customHeight="1">
      <c r="A501" s="180"/>
      <c r="B501" s="82" t="s">
        <v>641</v>
      </c>
      <c r="C501" s="97">
        <v>60</v>
      </c>
      <c r="D501" s="97" t="s">
        <v>31</v>
      </c>
      <c r="E501" s="168">
        <f>SUM(F501:H501)</f>
        <v>30.3</v>
      </c>
      <c r="F501" s="168">
        <v>3.3</v>
      </c>
      <c r="G501" s="168">
        <v>9.8</v>
      </c>
      <c r="H501" s="168">
        <v>17.2</v>
      </c>
      <c r="I501" s="84">
        <v>2404.54</v>
      </c>
      <c r="J501" s="168">
        <v>17.2</v>
      </c>
      <c r="K501" s="84">
        <v>2404.54</v>
      </c>
      <c r="L501" s="157">
        <f t="shared" si="102"/>
        <v>0.007153135319021517</v>
      </c>
      <c r="M501" s="158">
        <v>209.8</v>
      </c>
      <c r="N501" s="159">
        <f t="shared" si="103"/>
        <v>1.5007277899307143</v>
      </c>
      <c r="O501" s="159">
        <f t="shared" si="100"/>
        <v>429.188119141291</v>
      </c>
      <c r="P501" s="159">
        <f t="shared" si="104"/>
        <v>90.04366739584286</v>
      </c>
      <c r="Q501" s="11"/>
      <c r="R501" s="10"/>
      <c r="S501" s="10"/>
    </row>
    <row r="502" spans="1:19" s="9" customFormat="1" ht="13.5" customHeight="1">
      <c r="A502" s="180"/>
      <c r="B502" s="124" t="s">
        <v>405</v>
      </c>
      <c r="C502" s="161">
        <v>25</v>
      </c>
      <c r="D502" s="162">
        <v>1968</v>
      </c>
      <c r="E502" s="163">
        <f>F502+G502+H502</f>
        <v>11.200934</v>
      </c>
      <c r="F502" s="164">
        <v>1.5415260000000002</v>
      </c>
      <c r="G502" s="164">
        <v>0.25</v>
      </c>
      <c r="H502" s="164">
        <v>9.409407999999999</v>
      </c>
      <c r="I502" s="165">
        <v>1544.68</v>
      </c>
      <c r="J502" s="164">
        <v>9.409407999999999</v>
      </c>
      <c r="K502" s="165">
        <v>1307.3600000000001</v>
      </c>
      <c r="L502" s="166">
        <f t="shared" si="102"/>
        <v>0.007197258597478887</v>
      </c>
      <c r="M502" s="167">
        <v>315.01</v>
      </c>
      <c r="N502" s="167">
        <f t="shared" si="103"/>
        <v>2.267208430791824</v>
      </c>
      <c r="O502" s="167">
        <f t="shared" si="100"/>
        <v>431.8355158487333</v>
      </c>
      <c r="P502" s="167">
        <f t="shared" si="104"/>
        <v>136.03250584750947</v>
      </c>
      <c r="Q502" s="11"/>
      <c r="R502" s="10"/>
      <c r="S502" s="10"/>
    </row>
    <row r="503" spans="1:25" s="9" customFormat="1" ht="12.75" customHeight="1">
      <c r="A503" s="180"/>
      <c r="B503" s="82" t="s">
        <v>514</v>
      </c>
      <c r="C503" s="84">
        <v>102</v>
      </c>
      <c r="D503" s="97" t="s">
        <v>31</v>
      </c>
      <c r="E503" s="83">
        <f>F503+G503+H503</f>
        <v>28.119806</v>
      </c>
      <c r="F503" s="83">
        <v>3.876</v>
      </c>
      <c r="G503" s="83">
        <v>0.84</v>
      </c>
      <c r="H503" s="83">
        <v>23.403806</v>
      </c>
      <c r="I503" s="84">
        <v>3236.9</v>
      </c>
      <c r="J503" s="83">
        <v>23.403806</v>
      </c>
      <c r="K503" s="84">
        <v>3236.9</v>
      </c>
      <c r="L503" s="85">
        <f t="shared" si="102"/>
        <v>0.007230314807377429</v>
      </c>
      <c r="M503" s="86">
        <v>221.4</v>
      </c>
      <c r="N503" s="86">
        <f t="shared" si="103"/>
        <v>1.6007916983533628</v>
      </c>
      <c r="O503" s="86">
        <f t="shared" si="100"/>
        <v>433.8188884426457</v>
      </c>
      <c r="P503" s="86">
        <f t="shared" si="104"/>
        <v>96.04750190120176</v>
      </c>
      <c r="Q503" s="10"/>
      <c r="R503" s="10"/>
      <c r="S503" s="10"/>
      <c r="T503" s="12"/>
      <c r="U503" s="13"/>
      <c r="V503" s="13"/>
      <c r="W503" s="14"/>
      <c r="X503" s="14"/>
      <c r="Y503" s="14"/>
    </row>
    <row r="504" spans="1:19" s="9" customFormat="1" ht="12.75" customHeight="1">
      <c r="A504" s="180"/>
      <c r="B504" s="118" t="s">
        <v>304</v>
      </c>
      <c r="C504" s="160">
        <v>4</v>
      </c>
      <c r="D504" s="160">
        <v>1850</v>
      </c>
      <c r="E504" s="168">
        <v>2.48</v>
      </c>
      <c r="F504" s="168">
        <v>0.459</v>
      </c>
      <c r="G504" s="168">
        <v>0.64</v>
      </c>
      <c r="H504" s="168">
        <v>1.381</v>
      </c>
      <c r="I504" s="169">
        <v>190.97</v>
      </c>
      <c r="J504" s="168">
        <v>1.120377</v>
      </c>
      <c r="K504" s="169">
        <v>154.93</v>
      </c>
      <c r="L504" s="170">
        <v>0.007231</v>
      </c>
      <c r="M504" s="158">
        <v>281.7</v>
      </c>
      <c r="N504" s="159">
        <f>L504*M504*1.09</f>
        <v>2.220300243</v>
      </c>
      <c r="O504" s="159">
        <f t="shared" si="100"/>
        <v>433.85999999999996</v>
      </c>
      <c r="P504" s="159">
        <f>M504*O504/1000</f>
        <v>122.21836199999998</v>
      </c>
      <c r="R504" s="10"/>
      <c r="S504" s="10"/>
    </row>
    <row r="505" spans="1:19" s="9" customFormat="1" ht="12.75" customHeight="1">
      <c r="A505" s="180"/>
      <c r="B505" s="82" t="s">
        <v>643</v>
      </c>
      <c r="C505" s="97">
        <v>42</v>
      </c>
      <c r="D505" s="97" t="s">
        <v>31</v>
      </c>
      <c r="E505" s="83">
        <f>SUM(F505:H505)</f>
        <v>17.4</v>
      </c>
      <c r="F505" s="83">
        <v>3.1</v>
      </c>
      <c r="G505" s="83">
        <v>0.4</v>
      </c>
      <c r="H505" s="83">
        <v>13.9</v>
      </c>
      <c r="I505" s="84">
        <v>1954.43</v>
      </c>
      <c r="J505" s="83">
        <v>13.5</v>
      </c>
      <c r="K505" s="84">
        <v>1864.61</v>
      </c>
      <c r="L505" s="157">
        <f>J505/K505</f>
        <v>0.007240119917838047</v>
      </c>
      <c r="M505" s="158">
        <v>209.8</v>
      </c>
      <c r="N505" s="159">
        <f>L505*M505</f>
        <v>1.5189771587624223</v>
      </c>
      <c r="O505" s="159">
        <f t="shared" si="100"/>
        <v>434.4071950702828</v>
      </c>
      <c r="P505" s="159">
        <f>O505*M505/1000</f>
        <v>91.13862952574533</v>
      </c>
      <c r="R505" s="10"/>
      <c r="S505" s="10"/>
    </row>
    <row r="506" spans="1:19" s="9" customFormat="1" ht="12.75" customHeight="1">
      <c r="A506" s="180"/>
      <c r="B506" s="82" t="s">
        <v>143</v>
      </c>
      <c r="C506" s="97">
        <v>14</v>
      </c>
      <c r="D506" s="97">
        <v>1960</v>
      </c>
      <c r="E506" s="83">
        <v>5.20784</v>
      </c>
      <c r="F506" s="83">
        <v>1.98</v>
      </c>
      <c r="G506" s="83"/>
      <c r="H506" s="83">
        <f>E506-F506-G506</f>
        <v>3.22784</v>
      </c>
      <c r="I506" s="84">
        <v>444.73</v>
      </c>
      <c r="J506" s="83">
        <f>H506</f>
        <v>3.22784</v>
      </c>
      <c r="K506" s="84">
        <f>I506</f>
        <v>444.73</v>
      </c>
      <c r="L506" s="85">
        <f>J506/K506</f>
        <v>0.007257976749938165</v>
      </c>
      <c r="M506" s="86">
        <v>288.2</v>
      </c>
      <c r="N506" s="86">
        <f>L506*M506</f>
        <v>2.091748899332179</v>
      </c>
      <c r="O506" s="86">
        <f t="shared" si="100"/>
        <v>435.4786049962899</v>
      </c>
      <c r="P506" s="86">
        <f>O506*M506/1000</f>
        <v>125.50493395993074</v>
      </c>
      <c r="R506" s="10"/>
      <c r="S506" s="10"/>
    </row>
    <row r="507" spans="1:19" s="9" customFormat="1" ht="12.75" customHeight="1">
      <c r="A507" s="180"/>
      <c r="B507" s="118" t="s">
        <v>305</v>
      </c>
      <c r="C507" s="160">
        <v>22</v>
      </c>
      <c r="D507" s="160">
        <v>1960</v>
      </c>
      <c r="E507" s="168">
        <v>11.372</v>
      </c>
      <c r="F507" s="168">
        <v>1.479</v>
      </c>
      <c r="G507" s="168">
        <v>3.04</v>
      </c>
      <c r="H507" s="168">
        <v>6.853</v>
      </c>
      <c r="I507" s="169">
        <v>943.17</v>
      </c>
      <c r="J507" s="168">
        <v>4.58298</v>
      </c>
      <c r="K507" s="169">
        <v>630.75</v>
      </c>
      <c r="L507" s="170">
        <v>0.007265</v>
      </c>
      <c r="M507" s="158">
        <v>281.7</v>
      </c>
      <c r="N507" s="159">
        <f>L507*M507*1.09</f>
        <v>2.230740045</v>
      </c>
      <c r="O507" s="159">
        <f t="shared" si="100"/>
        <v>435.90000000000003</v>
      </c>
      <c r="P507" s="159">
        <f>M507*O507/1000</f>
        <v>122.79303</v>
      </c>
      <c r="R507" s="10"/>
      <c r="S507" s="10"/>
    </row>
    <row r="508" spans="1:19" s="9" customFormat="1" ht="12.75" customHeight="1">
      <c r="A508" s="180"/>
      <c r="B508" s="82" t="s">
        <v>642</v>
      </c>
      <c r="C508" s="97">
        <v>41</v>
      </c>
      <c r="D508" s="97" t="s">
        <v>31</v>
      </c>
      <c r="E508" s="83">
        <f>SUM(F508:H508)</f>
        <v>17.4</v>
      </c>
      <c r="F508" s="83">
        <v>3.3</v>
      </c>
      <c r="G508" s="83">
        <v>0.4</v>
      </c>
      <c r="H508" s="83">
        <v>13.7</v>
      </c>
      <c r="I508" s="84">
        <v>1881.35</v>
      </c>
      <c r="J508" s="83">
        <v>12.7</v>
      </c>
      <c r="K508" s="84">
        <v>1747.62</v>
      </c>
      <c r="L508" s="157">
        <f aca="true" t="shared" si="105" ref="L508:L514">J508/K508</f>
        <v>0.007267026012519885</v>
      </c>
      <c r="M508" s="158">
        <v>209.8</v>
      </c>
      <c r="N508" s="159">
        <f aca="true" t="shared" si="106" ref="N508:N514">L508*M508</f>
        <v>1.5246220574266718</v>
      </c>
      <c r="O508" s="159">
        <f t="shared" si="100"/>
        <v>436.0215607511931</v>
      </c>
      <c r="P508" s="159">
        <f>O508*M508/1000</f>
        <v>91.4773234456003</v>
      </c>
      <c r="Q508" s="11"/>
      <c r="R508" s="10"/>
      <c r="S508" s="10"/>
    </row>
    <row r="509" spans="1:19" s="9" customFormat="1" ht="12.75" customHeight="1">
      <c r="A509" s="180"/>
      <c r="B509" s="82" t="s">
        <v>144</v>
      </c>
      <c r="C509" s="97">
        <v>6</v>
      </c>
      <c r="D509" s="97">
        <v>1930</v>
      </c>
      <c r="E509" s="83">
        <v>4.24838</v>
      </c>
      <c r="F509" s="83">
        <v>0.91</v>
      </c>
      <c r="G509" s="83"/>
      <c r="H509" s="83">
        <f>E509-F509-G509</f>
        <v>3.33838</v>
      </c>
      <c r="I509" s="84">
        <v>459.14</v>
      </c>
      <c r="J509" s="83">
        <f>H509</f>
        <v>3.33838</v>
      </c>
      <c r="K509" s="84">
        <f>I509</f>
        <v>459.14</v>
      </c>
      <c r="L509" s="85">
        <f t="shared" si="105"/>
        <v>0.0072709413250860305</v>
      </c>
      <c r="M509" s="86">
        <v>288.2</v>
      </c>
      <c r="N509" s="86">
        <f t="shared" si="106"/>
        <v>2.095485289889794</v>
      </c>
      <c r="O509" s="86">
        <f t="shared" si="100"/>
        <v>436.25647950516185</v>
      </c>
      <c r="P509" s="86">
        <f>O509*M509/1000</f>
        <v>125.72911739338764</v>
      </c>
      <c r="R509" s="10"/>
      <c r="S509" s="10"/>
    </row>
    <row r="510" spans="1:19" s="9" customFormat="1" ht="13.5" customHeight="1">
      <c r="A510" s="180"/>
      <c r="B510" s="82" t="s">
        <v>586</v>
      </c>
      <c r="C510" s="97">
        <v>60</v>
      </c>
      <c r="D510" s="97">
        <v>1980</v>
      </c>
      <c r="E510" s="83">
        <v>39.83</v>
      </c>
      <c r="F510" s="83">
        <v>7.9366</v>
      </c>
      <c r="G510" s="83">
        <v>9.44</v>
      </c>
      <c r="H510" s="83">
        <f>E510-F510-G510</f>
        <v>22.453400000000002</v>
      </c>
      <c r="I510" s="84">
        <v>3087.75</v>
      </c>
      <c r="J510" s="83">
        <v>22.4534</v>
      </c>
      <c r="K510" s="84">
        <v>3087.75</v>
      </c>
      <c r="L510" s="85">
        <f t="shared" si="105"/>
        <v>0.007271767468221196</v>
      </c>
      <c r="M510" s="86">
        <v>243.179</v>
      </c>
      <c r="N510" s="86">
        <f t="shared" si="106"/>
        <v>1.7683411411545624</v>
      </c>
      <c r="O510" s="86">
        <f>L510*1000*60</f>
        <v>436.3060480932718</v>
      </c>
      <c r="P510" s="86">
        <f>N510*60</f>
        <v>106.10046846927375</v>
      </c>
      <c r="R510" s="10"/>
      <c r="S510" s="10"/>
    </row>
    <row r="511" spans="1:19" s="9" customFormat="1" ht="12.75" customHeight="1">
      <c r="A511" s="180"/>
      <c r="B511" s="124" t="s">
        <v>406</v>
      </c>
      <c r="C511" s="161">
        <v>47</v>
      </c>
      <c r="D511" s="162">
        <v>1964</v>
      </c>
      <c r="E511" s="163">
        <f>F511+G511+H511</f>
        <v>9.189841000000001</v>
      </c>
      <c r="F511" s="164">
        <v>2.8554899999999996</v>
      </c>
      <c r="G511" s="164">
        <v>0</v>
      </c>
      <c r="H511" s="164">
        <v>6.334351000000001</v>
      </c>
      <c r="I511" s="165">
        <v>1215.63</v>
      </c>
      <c r="J511" s="164">
        <v>6.334351000000001</v>
      </c>
      <c r="K511" s="165">
        <v>863.98</v>
      </c>
      <c r="L511" s="166">
        <f t="shared" si="105"/>
        <v>0.007331594481353736</v>
      </c>
      <c r="M511" s="167">
        <v>315.01</v>
      </c>
      <c r="N511" s="167">
        <f t="shared" si="106"/>
        <v>2.3095255775712404</v>
      </c>
      <c r="O511" s="167">
        <f aca="true" t="shared" si="107" ref="O511:O542">L511*60*1000</f>
        <v>439.89566888122414</v>
      </c>
      <c r="P511" s="167">
        <f>O511*M511/1000</f>
        <v>138.57153465427442</v>
      </c>
      <c r="Q511" s="11"/>
      <c r="R511" s="10"/>
      <c r="S511" s="10"/>
    </row>
    <row r="512" spans="1:19" s="9" customFormat="1" ht="12.75">
      <c r="A512" s="180"/>
      <c r="B512" s="82" t="s">
        <v>756</v>
      </c>
      <c r="C512" s="97">
        <v>18</v>
      </c>
      <c r="D512" s="97" t="s">
        <v>31</v>
      </c>
      <c r="E512" s="83">
        <f>F512+G512+H512</f>
        <v>12.088999999999999</v>
      </c>
      <c r="F512" s="83">
        <v>1.837</v>
      </c>
      <c r="G512" s="83">
        <v>2.88</v>
      </c>
      <c r="H512" s="83">
        <v>7.372</v>
      </c>
      <c r="I512" s="84">
        <v>1002</v>
      </c>
      <c r="J512" s="83">
        <v>7.372</v>
      </c>
      <c r="K512" s="84">
        <v>1002</v>
      </c>
      <c r="L512" s="85">
        <f t="shared" si="105"/>
        <v>0.007357285429141717</v>
      </c>
      <c r="M512" s="97">
        <v>361.99</v>
      </c>
      <c r="N512" s="86">
        <f t="shared" si="106"/>
        <v>2.66326375249501</v>
      </c>
      <c r="O512" s="86">
        <f t="shared" si="107"/>
        <v>441.43712574850304</v>
      </c>
      <c r="P512" s="86">
        <f>O512*M512/1000</f>
        <v>159.79582514970062</v>
      </c>
      <c r="R512" s="10"/>
      <c r="S512" s="10"/>
    </row>
    <row r="513" spans="1:19" s="9" customFormat="1" ht="12.75">
      <c r="A513" s="180"/>
      <c r="B513" s="118" t="s">
        <v>265</v>
      </c>
      <c r="C513" s="160">
        <v>3</v>
      </c>
      <c r="D513" s="160">
        <v>1900</v>
      </c>
      <c r="E513" s="83">
        <v>6.406</v>
      </c>
      <c r="F513" s="83">
        <v>0.816</v>
      </c>
      <c r="G513" s="83">
        <v>1.92</v>
      </c>
      <c r="H513" s="83">
        <v>3.67</v>
      </c>
      <c r="I513" s="84">
        <v>558.26</v>
      </c>
      <c r="J513" s="83">
        <v>3.58</v>
      </c>
      <c r="K513" s="84">
        <v>485.29</v>
      </c>
      <c r="L513" s="85">
        <f t="shared" si="105"/>
        <v>0.007377032289970945</v>
      </c>
      <c r="M513" s="86">
        <v>343.459</v>
      </c>
      <c r="N513" s="86">
        <f t="shared" si="106"/>
        <v>2.533708133281131</v>
      </c>
      <c r="O513" s="86">
        <f t="shared" si="107"/>
        <v>442.6219373982567</v>
      </c>
      <c r="P513" s="86">
        <f>O513*M513/1000</f>
        <v>152.02248799686785</v>
      </c>
      <c r="Q513" s="11"/>
      <c r="R513" s="10"/>
      <c r="S513" s="10"/>
    </row>
    <row r="514" spans="1:19" s="9" customFormat="1" ht="12.75">
      <c r="A514" s="180"/>
      <c r="B514" s="82" t="s">
        <v>644</v>
      </c>
      <c r="C514" s="97">
        <v>20</v>
      </c>
      <c r="D514" s="97" t="s">
        <v>31</v>
      </c>
      <c r="E514" s="83">
        <f>SUM(F514:H514)</f>
        <v>12.8</v>
      </c>
      <c r="F514" s="83">
        <v>1.8</v>
      </c>
      <c r="G514" s="83">
        <v>3.3</v>
      </c>
      <c r="H514" s="83">
        <v>7.7</v>
      </c>
      <c r="I514" s="84">
        <v>1042.41</v>
      </c>
      <c r="J514" s="83">
        <v>7.7</v>
      </c>
      <c r="K514" s="84">
        <v>1042.41</v>
      </c>
      <c r="L514" s="157">
        <f t="shared" si="105"/>
        <v>0.007386728830306693</v>
      </c>
      <c r="M514" s="158">
        <v>209.8</v>
      </c>
      <c r="N514" s="159">
        <f t="shared" si="106"/>
        <v>1.5497357085983443</v>
      </c>
      <c r="O514" s="159">
        <f t="shared" si="107"/>
        <v>443.20372981840154</v>
      </c>
      <c r="P514" s="159">
        <f>O514*M514/1000</f>
        <v>92.98414251590064</v>
      </c>
      <c r="Q514" s="11"/>
      <c r="R514" s="10"/>
      <c r="S514" s="10"/>
    </row>
    <row r="515" spans="1:19" s="9" customFormat="1" ht="12.75">
      <c r="A515" s="180"/>
      <c r="B515" s="118" t="s">
        <v>306</v>
      </c>
      <c r="C515" s="160">
        <v>8</v>
      </c>
      <c r="D515" s="160">
        <v>1962</v>
      </c>
      <c r="E515" s="168">
        <v>4.703999</v>
      </c>
      <c r="F515" s="168">
        <v>1.02</v>
      </c>
      <c r="G515" s="168">
        <v>0.97</v>
      </c>
      <c r="H515" s="168">
        <v>2.713999</v>
      </c>
      <c r="I515" s="169">
        <v>366.73</v>
      </c>
      <c r="J515" s="168">
        <v>2.713999</v>
      </c>
      <c r="K515" s="169">
        <v>366.73</v>
      </c>
      <c r="L515" s="170">
        <v>0.0074</v>
      </c>
      <c r="M515" s="158">
        <v>281.7</v>
      </c>
      <c r="N515" s="159">
        <f>L515*M515*1.09</f>
        <v>2.2721922</v>
      </c>
      <c r="O515" s="159">
        <f t="shared" si="107"/>
        <v>444</v>
      </c>
      <c r="P515" s="159">
        <f>M515*O515/1000</f>
        <v>125.07479999999998</v>
      </c>
      <c r="R515" s="10"/>
      <c r="S515" s="10"/>
    </row>
    <row r="516" spans="1:22" s="9" customFormat="1" ht="12.75">
      <c r="A516" s="180"/>
      <c r="B516" s="124" t="s">
        <v>407</v>
      </c>
      <c r="C516" s="161">
        <v>8</v>
      </c>
      <c r="D516" s="162">
        <v>1976</v>
      </c>
      <c r="E516" s="163">
        <f>F516+G516+H516</f>
        <v>4.7060010000000005</v>
      </c>
      <c r="F516" s="164">
        <v>1.02</v>
      </c>
      <c r="G516" s="164">
        <v>0.08</v>
      </c>
      <c r="H516" s="164">
        <v>3.606001</v>
      </c>
      <c r="I516" s="165">
        <v>486.54</v>
      </c>
      <c r="J516" s="164">
        <v>3.606001</v>
      </c>
      <c r="K516" s="165">
        <v>486.54</v>
      </c>
      <c r="L516" s="166">
        <f aca="true" t="shared" si="108" ref="L516:L530">J516/K516</f>
        <v>0.007411520121675504</v>
      </c>
      <c r="M516" s="167">
        <v>315.01</v>
      </c>
      <c r="N516" s="167">
        <f aca="true" t="shared" si="109" ref="N516:N530">L516*M516</f>
        <v>2.3347029535290007</v>
      </c>
      <c r="O516" s="167">
        <f t="shared" si="107"/>
        <v>444.69120730053027</v>
      </c>
      <c r="P516" s="167">
        <f aca="true" t="shared" si="110" ref="P516:P530">O516*M516/1000</f>
        <v>140.08217721174003</v>
      </c>
      <c r="Q516" s="10"/>
      <c r="R516" s="10"/>
      <c r="S516" s="10"/>
      <c r="T516" s="12"/>
      <c r="U516" s="13"/>
      <c r="V516" s="13"/>
    </row>
    <row r="517" spans="1:19" s="9" customFormat="1" ht="12.75">
      <c r="A517" s="180"/>
      <c r="B517" s="82" t="s">
        <v>860</v>
      </c>
      <c r="C517" s="97">
        <v>3</v>
      </c>
      <c r="D517" s="97" t="s">
        <v>31</v>
      </c>
      <c r="E517" s="83">
        <v>1.315</v>
      </c>
      <c r="F517" s="83"/>
      <c r="G517" s="83"/>
      <c r="H517" s="83">
        <f>+E517</f>
        <v>1.315</v>
      </c>
      <c r="I517" s="126"/>
      <c r="J517" s="83">
        <f>+H517</f>
        <v>1.315</v>
      </c>
      <c r="K517" s="84">
        <v>177.12</v>
      </c>
      <c r="L517" s="85">
        <f t="shared" si="108"/>
        <v>0.0074243450767841005</v>
      </c>
      <c r="M517" s="86">
        <v>347.8</v>
      </c>
      <c r="N517" s="86">
        <f t="shared" si="109"/>
        <v>2.5821872177055103</v>
      </c>
      <c r="O517" s="86">
        <f t="shared" si="107"/>
        <v>445.460704607046</v>
      </c>
      <c r="P517" s="86">
        <f t="shared" si="110"/>
        <v>154.9312330623306</v>
      </c>
      <c r="Q517" s="11"/>
      <c r="R517" s="10"/>
      <c r="S517" s="10"/>
    </row>
    <row r="518" spans="1:19" s="9" customFormat="1" ht="12.75">
      <c r="A518" s="180"/>
      <c r="B518" s="82" t="s">
        <v>515</v>
      </c>
      <c r="C518" s="84">
        <v>24</v>
      </c>
      <c r="D518" s="97" t="s">
        <v>31</v>
      </c>
      <c r="E518" s="83">
        <f>F518+G518+H518</f>
        <v>12.880613</v>
      </c>
      <c r="F518" s="83">
        <v>0.663</v>
      </c>
      <c r="G518" s="83">
        <v>3.84</v>
      </c>
      <c r="H518" s="83">
        <v>8.377613</v>
      </c>
      <c r="I518" s="84">
        <v>1127.22</v>
      </c>
      <c r="J518" s="83">
        <v>8.377612</v>
      </c>
      <c r="K518" s="84">
        <v>1127.22</v>
      </c>
      <c r="L518" s="85">
        <f t="shared" si="108"/>
        <v>0.007432100211138907</v>
      </c>
      <c r="M518" s="86">
        <v>221.4</v>
      </c>
      <c r="N518" s="86">
        <f t="shared" si="109"/>
        <v>1.645466986746154</v>
      </c>
      <c r="O518" s="86">
        <f t="shared" si="107"/>
        <v>445.9260126683344</v>
      </c>
      <c r="P518" s="86">
        <f t="shared" si="110"/>
        <v>98.72801920476924</v>
      </c>
      <c r="R518" s="10"/>
      <c r="S518" s="10"/>
    </row>
    <row r="519" spans="1:19" s="9" customFormat="1" ht="12.75">
      <c r="A519" s="180"/>
      <c r="B519" s="82" t="s">
        <v>331</v>
      </c>
      <c r="C519" s="97">
        <v>28</v>
      </c>
      <c r="D519" s="97">
        <v>1963</v>
      </c>
      <c r="E519" s="83">
        <v>12.027998</v>
      </c>
      <c r="F519" s="83">
        <v>2.958</v>
      </c>
      <c r="G519" s="83">
        <v>0</v>
      </c>
      <c r="H519" s="83">
        <v>9.069998</v>
      </c>
      <c r="I519" s="84">
        <v>1271.69</v>
      </c>
      <c r="J519" s="83">
        <v>5.435618</v>
      </c>
      <c r="K519" s="84">
        <v>731.26</v>
      </c>
      <c r="L519" s="85">
        <f t="shared" si="108"/>
        <v>0.007433222109783114</v>
      </c>
      <c r="M519" s="86">
        <v>247.6</v>
      </c>
      <c r="N519" s="86">
        <f t="shared" si="109"/>
        <v>1.8404657943822988</v>
      </c>
      <c r="O519" s="86">
        <f t="shared" si="107"/>
        <v>445.9933265869868</v>
      </c>
      <c r="P519" s="86">
        <f t="shared" si="110"/>
        <v>110.42794766293794</v>
      </c>
      <c r="Q519" s="11"/>
      <c r="R519" s="10"/>
      <c r="S519" s="10"/>
    </row>
    <row r="520" spans="1:19" s="9" customFormat="1" ht="12.75">
      <c r="A520" s="180"/>
      <c r="B520" s="124" t="s">
        <v>408</v>
      </c>
      <c r="C520" s="161">
        <v>12</v>
      </c>
      <c r="D520" s="162">
        <v>1976</v>
      </c>
      <c r="E520" s="163">
        <f>F520+G520+H520</f>
        <v>4.617999</v>
      </c>
      <c r="F520" s="164">
        <v>0.51</v>
      </c>
      <c r="G520" s="164">
        <v>0.11</v>
      </c>
      <c r="H520" s="164">
        <v>3.997999</v>
      </c>
      <c r="I520" s="165">
        <v>536.97</v>
      </c>
      <c r="J520" s="164">
        <v>3.997999</v>
      </c>
      <c r="K520" s="165">
        <v>536.97</v>
      </c>
      <c r="L520" s="166">
        <f t="shared" si="108"/>
        <v>0.007445479263273554</v>
      </c>
      <c r="M520" s="167">
        <v>315.01</v>
      </c>
      <c r="N520" s="167">
        <f t="shared" si="109"/>
        <v>2.345400422723802</v>
      </c>
      <c r="O520" s="167">
        <f t="shared" si="107"/>
        <v>446.7287557964132</v>
      </c>
      <c r="P520" s="167">
        <f t="shared" si="110"/>
        <v>140.72402536342813</v>
      </c>
      <c r="R520" s="10"/>
      <c r="S520" s="10"/>
    </row>
    <row r="521" spans="1:19" s="9" customFormat="1" ht="12.75" customHeight="1">
      <c r="A521" s="180"/>
      <c r="B521" s="124" t="s">
        <v>409</v>
      </c>
      <c r="C521" s="161">
        <v>18</v>
      </c>
      <c r="D521" s="162">
        <v>1987</v>
      </c>
      <c r="E521" s="163">
        <f>F521+G521+H521</f>
        <v>13.227247</v>
      </c>
      <c r="F521" s="164">
        <v>1.887</v>
      </c>
      <c r="G521" s="164">
        <v>2.88</v>
      </c>
      <c r="H521" s="164">
        <v>8.460247</v>
      </c>
      <c r="I521" s="165">
        <v>1157.8700000000001</v>
      </c>
      <c r="J521" s="164">
        <v>8.460247</v>
      </c>
      <c r="K521" s="165">
        <v>1134.7</v>
      </c>
      <c r="L521" s="166">
        <f t="shared" si="108"/>
        <v>0.007455932845686085</v>
      </c>
      <c r="M521" s="167">
        <v>315.01</v>
      </c>
      <c r="N521" s="167">
        <f t="shared" si="109"/>
        <v>2.3486934057195734</v>
      </c>
      <c r="O521" s="167">
        <f t="shared" si="107"/>
        <v>447.35597074116504</v>
      </c>
      <c r="P521" s="167">
        <f t="shared" si="110"/>
        <v>140.9216043431744</v>
      </c>
      <c r="R521" s="10"/>
      <c r="S521" s="10"/>
    </row>
    <row r="522" spans="1:16" s="9" customFormat="1" ht="12.75" customHeight="1">
      <c r="A522" s="180"/>
      <c r="B522" s="118" t="s">
        <v>266</v>
      </c>
      <c r="C522" s="160">
        <v>12</v>
      </c>
      <c r="D522" s="160">
        <v>1980</v>
      </c>
      <c r="E522" s="83">
        <v>6.686</v>
      </c>
      <c r="F522" s="83">
        <v>1.02</v>
      </c>
      <c r="G522" s="83">
        <v>1.76</v>
      </c>
      <c r="H522" s="83">
        <v>3.906</v>
      </c>
      <c r="I522" s="84">
        <v>584.73</v>
      </c>
      <c r="J522" s="83">
        <v>3.91</v>
      </c>
      <c r="K522" s="84">
        <v>523.49</v>
      </c>
      <c r="L522" s="85">
        <f t="shared" si="108"/>
        <v>0.0074691016065254355</v>
      </c>
      <c r="M522" s="86">
        <v>343.459</v>
      </c>
      <c r="N522" s="86">
        <f t="shared" si="109"/>
        <v>2.5653301686756196</v>
      </c>
      <c r="O522" s="86">
        <f t="shared" si="107"/>
        <v>448.14609639152616</v>
      </c>
      <c r="P522" s="86">
        <f t="shared" si="110"/>
        <v>153.9198101205372</v>
      </c>
    </row>
    <row r="523" spans="1:19" s="9" customFormat="1" ht="12.75">
      <c r="A523" s="180"/>
      <c r="B523" s="118" t="s">
        <v>362</v>
      </c>
      <c r="C523" s="160">
        <v>32</v>
      </c>
      <c r="D523" s="160">
        <v>1963</v>
      </c>
      <c r="E523" s="168">
        <f>F523+G523+H523</f>
        <v>10.52</v>
      </c>
      <c r="F523" s="168">
        <v>0</v>
      </c>
      <c r="G523" s="168">
        <v>0</v>
      </c>
      <c r="H523" s="168">
        <v>10.52</v>
      </c>
      <c r="I523" s="169">
        <v>1402.34</v>
      </c>
      <c r="J523" s="168">
        <v>10.52</v>
      </c>
      <c r="K523" s="169">
        <v>1402.34</v>
      </c>
      <c r="L523" s="157">
        <f t="shared" si="108"/>
        <v>0.007501747079880771</v>
      </c>
      <c r="M523" s="158">
        <v>320.7</v>
      </c>
      <c r="N523" s="159">
        <f t="shared" si="109"/>
        <v>2.4058102885177632</v>
      </c>
      <c r="O523" s="159">
        <f t="shared" si="107"/>
        <v>450.1048247928463</v>
      </c>
      <c r="P523" s="159">
        <f t="shared" si="110"/>
        <v>144.3486173110658</v>
      </c>
      <c r="R523" s="10"/>
      <c r="S523" s="10"/>
    </row>
    <row r="524" spans="1:19" s="9" customFormat="1" ht="12.75">
      <c r="A524" s="180"/>
      <c r="B524" s="82" t="s">
        <v>861</v>
      </c>
      <c r="C524" s="97">
        <v>30</v>
      </c>
      <c r="D524" s="97" t="s">
        <v>31</v>
      </c>
      <c r="E524" s="83">
        <v>19.084</v>
      </c>
      <c r="F524" s="83">
        <f>43.93*0.051</f>
        <v>2.24043</v>
      </c>
      <c r="G524" s="83">
        <f>30*0.16</f>
        <v>4.8</v>
      </c>
      <c r="H524" s="83">
        <f>+E524-F524-G524</f>
        <v>12.043569999999999</v>
      </c>
      <c r="I524" s="126"/>
      <c r="J524" s="83">
        <f>+H524</f>
        <v>12.043569999999999</v>
      </c>
      <c r="K524" s="84">
        <v>1602.12</v>
      </c>
      <c r="L524" s="85">
        <f t="shared" si="108"/>
        <v>0.007517270866102414</v>
      </c>
      <c r="M524" s="86">
        <v>347.8</v>
      </c>
      <c r="N524" s="86">
        <f t="shared" si="109"/>
        <v>2.61450680723042</v>
      </c>
      <c r="O524" s="86">
        <f t="shared" si="107"/>
        <v>451.03625196614485</v>
      </c>
      <c r="P524" s="86">
        <f t="shared" si="110"/>
        <v>156.8704084338252</v>
      </c>
      <c r="R524" s="10"/>
      <c r="S524" s="10"/>
    </row>
    <row r="525" spans="1:19" s="9" customFormat="1" ht="12.75">
      <c r="A525" s="180"/>
      <c r="B525" s="82" t="s">
        <v>100</v>
      </c>
      <c r="C525" s="97">
        <v>57</v>
      </c>
      <c r="D525" s="97">
        <v>1982</v>
      </c>
      <c r="E525" s="83">
        <v>42.57</v>
      </c>
      <c r="F525" s="83">
        <v>7.71</v>
      </c>
      <c r="G525" s="83">
        <v>8.64</v>
      </c>
      <c r="H525" s="83">
        <f>E525-F525-G525</f>
        <v>26.22</v>
      </c>
      <c r="I525" s="84">
        <v>3486.1</v>
      </c>
      <c r="J525" s="83">
        <f>H525/I525*K525</f>
        <v>25.88831071971544</v>
      </c>
      <c r="K525" s="84">
        <v>3442</v>
      </c>
      <c r="L525" s="85">
        <f t="shared" si="108"/>
        <v>0.00752129887266573</v>
      </c>
      <c r="M525" s="86">
        <v>332.56</v>
      </c>
      <c r="N525" s="86">
        <f t="shared" si="109"/>
        <v>2.501283153093715</v>
      </c>
      <c r="O525" s="86">
        <f t="shared" si="107"/>
        <v>451.2779323599438</v>
      </c>
      <c r="P525" s="86">
        <f t="shared" si="110"/>
        <v>150.07698918562292</v>
      </c>
      <c r="R525" s="10"/>
      <c r="S525" s="10"/>
    </row>
    <row r="526" spans="1:19" s="9" customFormat="1" ht="12.75" customHeight="1">
      <c r="A526" s="180"/>
      <c r="B526" s="82" t="s">
        <v>516</v>
      </c>
      <c r="C526" s="84">
        <v>45</v>
      </c>
      <c r="D526" s="97" t="s">
        <v>31</v>
      </c>
      <c r="E526" s="83">
        <f>F526+G526+H526</f>
        <v>29.410516</v>
      </c>
      <c r="F526" s="83">
        <v>4.794</v>
      </c>
      <c r="G526" s="83">
        <v>7.12</v>
      </c>
      <c r="H526" s="83">
        <v>17.496516</v>
      </c>
      <c r="I526" s="84">
        <v>2324.82</v>
      </c>
      <c r="J526" s="83">
        <v>17.496516</v>
      </c>
      <c r="K526" s="84">
        <v>2324.82</v>
      </c>
      <c r="L526" s="85">
        <f t="shared" si="108"/>
        <v>0.007525965881229514</v>
      </c>
      <c r="M526" s="86">
        <v>221.4</v>
      </c>
      <c r="N526" s="86">
        <f t="shared" si="109"/>
        <v>1.6662488461042144</v>
      </c>
      <c r="O526" s="86">
        <f t="shared" si="107"/>
        <v>451.55795287377083</v>
      </c>
      <c r="P526" s="86">
        <f t="shared" si="110"/>
        <v>99.97493076625285</v>
      </c>
      <c r="R526" s="10"/>
      <c r="S526" s="10"/>
    </row>
    <row r="527" spans="1:19" s="9" customFormat="1" ht="12.75">
      <c r="A527" s="180"/>
      <c r="B527" s="124" t="s">
        <v>410</v>
      </c>
      <c r="C527" s="161">
        <v>20</v>
      </c>
      <c r="D527" s="162">
        <v>1985</v>
      </c>
      <c r="E527" s="163">
        <f>F527+G527+H527</f>
        <v>12.968</v>
      </c>
      <c r="F527" s="164">
        <v>1.734</v>
      </c>
      <c r="G527" s="164">
        <v>3.2</v>
      </c>
      <c r="H527" s="164">
        <v>8.034</v>
      </c>
      <c r="I527" s="165">
        <v>1066.27</v>
      </c>
      <c r="J527" s="164">
        <v>8.034</v>
      </c>
      <c r="K527" s="165">
        <v>1066.27</v>
      </c>
      <c r="L527" s="166">
        <f t="shared" si="108"/>
        <v>0.007534676957993754</v>
      </c>
      <c r="M527" s="167">
        <v>315.01</v>
      </c>
      <c r="N527" s="167">
        <f t="shared" si="109"/>
        <v>2.3734985885376125</v>
      </c>
      <c r="O527" s="167">
        <f t="shared" si="107"/>
        <v>452.08061747962523</v>
      </c>
      <c r="P527" s="167">
        <f t="shared" si="110"/>
        <v>142.40991531225674</v>
      </c>
      <c r="R527" s="10"/>
      <c r="S527" s="10"/>
    </row>
    <row r="528" spans="1:19" s="9" customFormat="1" ht="12.75">
      <c r="A528" s="180"/>
      <c r="B528" s="82" t="s">
        <v>204</v>
      </c>
      <c r="C528" s="97">
        <v>8</v>
      </c>
      <c r="D528" s="97">
        <v>1961</v>
      </c>
      <c r="E528" s="83">
        <v>5.212</v>
      </c>
      <c r="F528" s="83">
        <v>1.1796</v>
      </c>
      <c r="G528" s="83">
        <v>1.28</v>
      </c>
      <c r="H528" s="83">
        <f>E528-F528-G528</f>
        <v>2.7523999999999997</v>
      </c>
      <c r="I528" s="84">
        <v>365.11</v>
      </c>
      <c r="J528" s="83">
        <v>2.752</v>
      </c>
      <c r="K528" s="84">
        <v>365.11</v>
      </c>
      <c r="L528" s="85">
        <f t="shared" si="108"/>
        <v>0.0075374544657774364</v>
      </c>
      <c r="M528" s="86">
        <v>267.81</v>
      </c>
      <c r="N528" s="86">
        <f t="shared" si="109"/>
        <v>2.018605680479855</v>
      </c>
      <c r="O528" s="86">
        <f t="shared" si="107"/>
        <v>452.24726794664616</v>
      </c>
      <c r="P528" s="86">
        <f t="shared" si="110"/>
        <v>121.11634082879131</v>
      </c>
      <c r="R528" s="10"/>
      <c r="S528" s="10"/>
    </row>
    <row r="529" spans="1:19" s="9" customFormat="1" ht="12.75">
      <c r="A529" s="180"/>
      <c r="B529" s="118" t="s">
        <v>267</v>
      </c>
      <c r="C529" s="160">
        <v>8</v>
      </c>
      <c r="D529" s="160">
        <v>1989</v>
      </c>
      <c r="E529" s="83">
        <v>5.231</v>
      </c>
      <c r="F529" s="83">
        <v>0.153</v>
      </c>
      <c r="G529" s="83">
        <v>0.08</v>
      </c>
      <c r="H529" s="83">
        <v>4.998</v>
      </c>
      <c r="I529" s="84">
        <v>729.13</v>
      </c>
      <c r="J529" s="83">
        <v>1.78</v>
      </c>
      <c r="K529" s="84">
        <v>236.04</v>
      </c>
      <c r="L529" s="85">
        <f t="shared" si="108"/>
        <v>0.00754109472970683</v>
      </c>
      <c r="M529" s="86">
        <v>343.459</v>
      </c>
      <c r="N529" s="86">
        <f t="shared" si="109"/>
        <v>2.590056854770378</v>
      </c>
      <c r="O529" s="86">
        <f t="shared" si="107"/>
        <v>452.46568378240977</v>
      </c>
      <c r="P529" s="86">
        <f t="shared" si="110"/>
        <v>155.40341128622268</v>
      </c>
      <c r="R529" s="10"/>
      <c r="S529" s="10"/>
    </row>
    <row r="530" spans="1:19" s="9" customFormat="1" ht="12.75">
      <c r="A530" s="180"/>
      <c r="B530" s="118" t="s">
        <v>363</v>
      </c>
      <c r="C530" s="160">
        <v>43</v>
      </c>
      <c r="D530" s="160">
        <v>1971</v>
      </c>
      <c r="E530" s="168">
        <f>F530+G530+H530</f>
        <v>13.32</v>
      </c>
      <c r="F530" s="168">
        <v>0</v>
      </c>
      <c r="G530" s="168">
        <v>0</v>
      </c>
      <c r="H530" s="168">
        <v>13.32</v>
      </c>
      <c r="I530" s="169">
        <v>1845.28</v>
      </c>
      <c r="J530" s="168">
        <v>13.32</v>
      </c>
      <c r="K530" s="169">
        <v>1764.48</v>
      </c>
      <c r="L530" s="157">
        <f t="shared" si="108"/>
        <v>0.007548966267682263</v>
      </c>
      <c r="M530" s="158">
        <v>320.7</v>
      </c>
      <c r="N530" s="159">
        <f t="shared" si="109"/>
        <v>2.420953482045702</v>
      </c>
      <c r="O530" s="159">
        <f t="shared" si="107"/>
        <v>452.9379760609358</v>
      </c>
      <c r="P530" s="159">
        <f t="shared" si="110"/>
        <v>145.2572089227421</v>
      </c>
      <c r="R530" s="10"/>
      <c r="S530" s="10"/>
    </row>
    <row r="531" spans="1:19" s="9" customFormat="1" ht="12.75" customHeight="1">
      <c r="A531" s="180"/>
      <c r="B531" s="118" t="s">
        <v>307</v>
      </c>
      <c r="C531" s="160">
        <v>9</v>
      </c>
      <c r="D531" s="160">
        <v>1986</v>
      </c>
      <c r="E531" s="168">
        <v>4.842002</v>
      </c>
      <c r="F531" s="168">
        <v>0.153</v>
      </c>
      <c r="G531" s="168">
        <v>0.638279</v>
      </c>
      <c r="H531" s="168">
        <v>4.050723</v>
      </c>
      <c r="I531" s="169">
        <v>536.31</v>
      </c>
      <c r="J531" s="168">
        <v>4.050723</v>
      </c>
      <c r="K531" s="169">
        <v>536.31</v>
      </c>
      <c r="L531" s="170">
        <v>0.007552</v>
      </c>
      <c r="M531" s="158">
        <v>281.7</v>
      </c>
      <c r="N531" s="159">
        <f>L531*M531*1.09</f>
        <v>2.318864256</v>
      </c>
      <c r="O531" s="159">
        <f t="shared" si="107"/>
        <v>453.11999999999995</v>
      </c>
      <c r="P531" s="159">
        <f>M531*O531/1000</f>
        <v>127.64390399999998</v>
      </c>
      <c r="R531" s="10"/>
      <c r="S531" s="10"/>
    </row>
    <row r="532" spans="1:19" s="9" customFormat="1" ht="12.75">
      <c r="A532" s="180"/>
      <c r="B532" s="118" t="s">
        <v>364</v>
      </c>
      <c r="C532" s="160">
        <v>34</v>
      </c>
      <c r="D532" s="160">
        <v>1960</v>
      </c>
      <c r="E532" s="168">
        <f>F532+G532+H532</f>
        <v>11.23</v>
      </c>
      <c r="F532" s="168">
        <v>0</v>
      </c>
      <c r="G532" s="168">
        <v>0</v>
      </c>
      <c r="H532" s="168">
        <v>11.23</v>
      </c>
      <c r="I532" s="169">
        <v>1562.13</v>
      </c>
      <c r="J532" s="168">
        <v>11.23</v>
      </c>
      <c r="K532" s="169">
        <v>1483.17</v>
      </c>
      <c r="L532" s="157">
        <f>J532/K532</f>
        <v>0.007571620245824821</v>
      </c>
      <c r="M532" s="158">
        <v>320.7</v>
      </c>
      <c r="N532" s="159">
        <f>L532*M532</f>
        <v>2.42821861283602</v>
      </c>
      <c r="O532" s="159">
        <f t="shared" si="107"/>
        <v>454.2972147494892</v>
      </c>
      <c r="P532" s="159">
        <f>O532*M532/1000</f>
        <v>145.6931167701612</v>
      </c>
      <c r="Q532" s="11"/>
      <c r="R532" s="10"/>
      <c r="S532" s="10"/>
    </row>
    <row r="533" spans="1:19" s="9" customFormat="1" ht="12.75">
      <c r="A533" s="180"/>
      <c r="B533" s="124" t="s">
        <v>411</v>
      </c>
      <c r="C533" s="161">
        <v>59</v>
      </c>
      <c r="D533" s="162">
        <v>1985</v>
      </c>
      <c r="E533" s="163">
        <f>F533+G533+H533</f>
        <v>46.766222</v>
      </c>
      <c r="F533" s="164">
        <v>8.500323</v>
      </c>
      <c r="G533" s="164">
        <v>9.36</v>
      </c>
      <c r="H533" s="164">
        <v>28.905899</v>
      </c>
      <c r="I533" s="165">
        <v>3921.56</v>
      </c>
      <c r="J533" s="164">
        <v>28.905899</v>
      </c>
      <c r="K533" s="165">
        <v>3814.2000000000003</v>
      </c>
      <c r="L533" s="166">
        <f>J533/K533</f>
        <v>0.007578495883802632</v>
      </c>
      <c r="M533" s="167">
        <v>315.01</v>
      </c>
      <c r="N533" s="167">
        <f>L533*M533</f>
        <v>2.387301988356667</v>
      </c>
      <c r="O533" s="167">
        <f t="shared" si="107"/>
        <v>454.70975302815793</v>
      </c>
      <c r="P533" s="167">
        <f>O533*M533/1000</f>
        <v>143.23811930140002</v>
      </c>
      <c r="Q533" s="11"/>
      <c r="R533" s="10"/>
      <c r="S533" s="10"/>
    </row>
    <row r="534" spans="1:19" s="9" customFormat="1" ht="12.75">
      <c r="A534" s="180"/>
      <c r="B534" s="82" t="s">
        <v>145</v>
      </c>
      <c r="C534" s="97">
        <v>6</v>
      </c>
      <c r="D534" s="97">
        <v>1935</v>
      </c>
      <c r="E534" s="83">
        <v>2.89692</v>
      </c>
      <c r="F534" s="83">
        <v>0.596</v>
      </c>
      <c r="G534" s="83">
        <v>0.005</v>
      </c>
      <c r="H534" s="83">
        <f>E534-F534-G534</f>
        <v>2.29592</v>
      </c>
      <c r="I534" s="84">
        <v>302.59</v>
      </c>
      <c r="J534" s="83">
        <f>H534</f>
        <v>2.29592</v>
      </c>
      <c r="K534" s="84">
        <f>I534</f>
        <v>302.59</v>
      </c>
      <c r="L534" s="85">
        <f>J534/K534</f>
        <v>0.0075875607257344935</v>
      </c>
      <c r="M534" s="86">
        <v>288.2</v>
      </c>
      <c r="N534" s="86">
        <f>L534*M534</f>
        <v>2.186735001156681</v>
      </c>
      <c r="O534" s="86">
        <f t="shared" si="107"/>
        <v>455.25364354406963</v>
      </c>
      <c r="P534" s="86">
        <f>O534*M534/1000</f>
        <v>131.20410006940085</v>
      </c>
      <c r="R534" s="10"/>
      <c r="S534" s="10"/>
    </row>
    <row r="535" spans="1:19" s="9" customFormat="1" ht="12.75">
      <c r="A535" s="180"/>
      <c r="B535" s="82" t="s">
        <v>101</v>
      </c>
      <c r="C535" s="97">
        <v>54</v>
      </c>
      <c r="D535" s="97">
        <v>1987</v>
      </c>
      <c r="E535" s="83">
        <v>29.16</v>
      </c>
      <c r="F535" s="83">
        <v>4.23</v>
      </c>
      <c r="G535" s="83">
        <v>8.4</v>
      </c>
      <c r="H535" s="83">
        <f>E535-F535-G535</f>
        <v>16.53</v>
      </c>
      <c r="I535" s="84">
        <v>2177.6</v>
      </c>
      <c r="J535" s="83">
        <f>H535/I535*K535</f>
        <v>16.53</v>
      </c>
      <c r="K535" s="84">
        <v>2177.6</v>
      </c>
      <c r="L535" s="85">
        <f>J535/K535</f>
        <v>0.007590925789860398</v>
      </c>
      <c r="M535" s="86">
        <v>332.56</v>
      </c>
      <c r="N535" s="86">
        <f>L535*M535</f>
        <v>2.524438280675974</v>
      </c>
      <c r="O535" s="86">
        <f t="shared" si="107"/>
        <v>455.45554739162384</v>
      </c>
      <c r="P535" s="86">
        <f>O535*M535/1000</f>
        <v>151.4662968405584</v>
      </c>
      <c r="Q535" s="11"/>
      <c r="R535" s="10"/>
      <c r="S535" s="10"/>
    </row>
    <row r="536" spans="1:19" s="9" customFormat="1" ht="12.75">
      <c r="A536" s="180"/>
      <c r="B536" s="82" t="s">
        <v>825</v>
      </c>
      <c r="C536" s="97">
        <v>35</v>
      </c>
      <c r="D536" s="97">
        <v>1993</v>
      </c>
      <c r="E536" s="83">
        <f>SUM(F536+G536+H536)</f>
        <v>25.7</v>
      </c>
      <c r="F536" s="83">
        <v>2.8</v>
      </c>
      <c r="G536" s="83">
        <v>5.6</v>
      </c>
      <c r="H536" s="83">
        <v>17.3</v>
      </c>
      <c r="I536" s="84">
        <v>2275.2</v>
      </c>
      <c r="J536" s="83">
        <v>17.3</v>
      </c>
      <c r="K536" s="84">
        <v>2275.2</v>
      </c>
      <c r="L536" s="85">
        <f>SUM(J536/K536)</f>
        <v>0.0076037271448663865</v>
      </c>
      <c r="M536" s="86">
        <v>214.3</v>
      </c>
      <c r="N536" s="86">
        <f>SUM(L536*M536)</f>
        <v>1.6294787271448667</v>
      </c>
      <c r="O536" s="86">
        <f t="shared" si="107"/>
        <v>456.2236286919832</v>
      </c>
      <c r="P536" s="86">
        <f>SUM(N536*60)</f>
        <v>97.768723628692</v>
      </c>
      <c r="Q536" s="11"/>
      <c r="R536" s="10"/>
      <c r="S536" s="10"/>
    </row>
    <row r="537" spans="1:19" s="9" customFormat="1" ht="12.75">
      <c r="A537" s="180"/>
      <c r="B537" s="118" t="s">
        <v>268</v>
      </c>
      <c r="C537" s="160">
        <v>45</v>
      </c>
      <c r="D537" s="160">
        <v>1968</v>
      </c>
      <c r="E537" s="83">
        <v>23.863</v>
      </c>
      <c r="F537" s="83">
        <v>2.55</v>
      </c>
      <c r="G537" s="83">
        <v>7.2</v>
      </c>
      <c r="H537" s="83">
        <v>14.113</v>
      </c>
      <c r="I537" s="84">
        <v>1855.91</v>
      </c>
      <c r="J537" s="83">
        <v>14.113</v>
      </c>
      <c r="K537" s="84">
        <v>1855.91</v>
      </c>
      <c r="L537" s="85">
        <f aca="true" t="shared" si="111" ref="L537:L550">J537/K537</f>
        <v>0.007604355814667736</v>
      </c>
      <c r="M537" s="86">
        <v>343.459</v>
      </c>
      <c r="N537" s="86">
        <f aca="true" t="shared" si="112" ref="N537:N550">L537*M537</f>
        <v>2.611784443749966</v>
      </c>
      <c r="O537" s="86">
        <f t="shared" si="107"/>
        <v>456.2613488800642</v>
      </c>
      <c r="P537" s="86">
        <f>O537*M537/1000</f>
        <v>156.70706662499796</v>
      </c>
      <c r="Q537" s="11"/>
      <c r="R537" s="10"/>
      <c r="S537" s="10"/>
    </row>
    <row r="538" spans="1:19" s="9" customFormat="1" ht="12.75">
      <c r="A538" s="180"/>
      <c r="B538" s="118" t="s">
        <v>365</v>
      </c>
      <c r="C538" s="160">
        <v>4</v>
      </c>
      <c r="D538" s="160">
        <v>1929</v>
      </c>
      <c r="E538" s="168">
        <f>F538+G538+H538</f>
        <v>1.12</v>
      </c>
      <c r="F538" s="168">
        <v>0</v>
      </c>
      <c r="G538" s="168">
        <v>0</v>
      </c>
      <c r="H538" s="168">
        <v>1.12</v>
      </c>
      <c r="I538" s="169">
        <v>147.21</v>
      </c>
      <c r="J538" s="168">
        <v>1.12</v>
      </c>
      <c r="K538" s="169">
        <v>147.21</v>
      </c>
      <c r="L538" s="157">
        <f t="shared" si="111"/>
        <v>0.007608178792201617</v>
      </c>
      <c r="M538" s="158">
        <v>320.7</v>
      </c>
      <c r="N538" s="159">
        <f t="shared" si="112"/>
        <v>2.4399429386590583</v>
      </c>
      <c r="O538" s="159">
        <f t="shared" si="107"/>
        <v>456.490727532097</v>
      </c>
      <c r="P538" s="159">
        <f>O538*M538/1000</f>
        <v>146.3965763195435</v>
      </c>
      <c r="Q538" s="11"/>
      <c r="R538" s="10"/>
      <c r="S538" s="10"/>
    </row>
    <row r="539" spans="1:19" s="9" customFormat="1" ht="12.75">
      <c r="A539" s="180"/>
      <c r="B539" s="118" t="s">
        <v>366</v>
      </c>
      <c r="C539" s="160">
        <v>44</v>
      </c>
      <c r="D539" s="160">
        <v>1964</v>
      </c>
      <c r="E539" s="168">
        <f>F539+G539+H539</f>
        <v>14.21</v>
      </c>
      <c r="F539" s="168">
        <v>0</v>
      </c>
      <c r="G539" s="168">
        <v>0</v>
      </c>
      <c r="H539" s="168">
        <v>14.21</v>
      </c>
      <c r="I539" s="169">
        <v>1865.95</v>
      </c>
      <c r="J539" s="168">
        <v>14.21</v>
      </c>
      <c r="K539" s="169">
        <v>1865.95</v>
      </c>
      <c r="L539" s="157">
        <f t="shared" si="111"/>
        <v>0.007615423778772208</v>
      </c>
      <c r="M539" s="158">
        <v>320.7</v>
      </c>
      <c r="N539" s="159">
        <f t="shared" si="112"/>
        <v>2.442266405852247</v>
      </c>
      <c r="O539" s="159">
        <f t="shared" si="107"/>
        <v>456.9254267263325</v>
      </c>
      <c r="P539" s="159">
        <f>O539*M539/1000</f>
        <v>146.53598435113483</v>
      </c>
      <c r="Q539" s="11"/>
      <c r="R539" s="10"/>
      <c r="S539" s="10"/>
    </row>
    <row r="540" spans="1:19" s="9" customFormat="1" ht="12.75">
      <c r="A540" s="180"/>
      <c r="B540" s="118" t="s">
        <v>471</v>
      </c>
      <c r="C540" s="160">
        <v>19</v>
      </c>
      <c r="D540" s="160">
        <v>1984</v>
      </c>
      <c r="E540" s="168">
        <v>5.282</v>
      </c>
      <c r="F540" s="168" t="s">
        <v>451</v>
      </c>
      <c r="G540" s="168" t="s">
        <v>451</v>
      </c>
      <c r="H540" s="168">
        <v>5.282</v>
      </c>
      <c r="I540" s="169">
        <v>761.67</v>
      </c>
      <c r="J540" s="168">
        <v>5.17</v>
      </c>
      <c r="K540" s="169">
        <v>677.65</v>
      </c>
      <c r="L540" s="157">
        <f t="shared" si="111"/>
        <v>0.007629307164465432</v>
      </c>
      <c r="M540" s="158">
        <v>329.943</v>
      </c>
      <c r="N540" s="159">
        <f t="shared" si="112"/>
        <v>2.5172364937652176</v>
      </c>
      <c r="O540" s="159">
        <f t="shared" si="107"/>
        <v>457.75842986792594</v>
      </c>
      <c r="P540" s="159">
        <f>O540*M540/1000</f>
        <v>151.0341896259131</v>
      </c>
      <c r="R540" s="10"/>
      <c r="S540" s="10"/>
    </row>
    <row r="541" spans="1:19" s="9" customFormat="1" ht="12.75" customHeight="1">
      <c r="A541" s="180"/>
      <c r="B541" s="118" t="s">
        <v>269</v>
      </c>
      <c r="C541" s="160">
        <v>21</v>
      </c>
      <c r="D541" s="160">
        <v>1986</v>
      </c>
      <c r="E541" s="83">
        <v>14.334</v>
      </c>
      <c r="F541" s="83">
        <v>1.938</v>
      </c>
      <c r="G541" s="83">
        <v>3.52</v>
      </c>
      <c r="H541" s="83">
        <v>8.876</v>
      </c>
      <c r="I541" s="84">
        <v>1161.95</v>
      </c>
      <c r="J541" s="83">
        <v>8.38</v>
      </c>
      <c r="K541" s="84">
        <v>1097.49</v>
      </c>
      <c r="L541" s="85">
        <f t="shared" si="111"/>
        <v>0.0076356048802266995</v>
      </c>
      <c r="M541" s="86">
        <v>343.459</v>
      </c>
      <c r="N541" s="86">
        <f t="shared" si="112"/>
        <v>2.622517216557782</v>
      </c>
      <c r="O541" s="86">
        <f t="shared" si="107"/>
        <v>458.136292813602</v>
      </c>
      <c r="P541" s="86">
        <f>O541*M541/1000</f>
        <v>157.3510329934669</v>
      </c>
      <c r="R541" s="10"/>
      <c r="S541" s="10"/>
    </row>
    <row r="542" spans="1:19" s="9" customFormat="1" ht="12.75">
      <c r="A542" s="180"/>
      <c r="B542" s="82" t="s">
        <v>61</v>
      </c>
      <c r="C542" s="97">
        <v>24</v>
      </c>
      <c r="D542" s="97">
        <v>1961</v>
      </c>
      <c r="E542" s="83">
        <v>9.508</v>
      </c>
      <c r="F542" s="83">
        <v>2.541855</v>
      </c>
      <c r="G542" s="83">
        <v>0</v>
      </c>
      <c r="H542" s="83">
        <v>6.966143</v>
      </c>
      <c r="I542" s="84">
        <v>911.79</v>
      </c>
      <c r="J542" s="83">
        <f>H542</f>
        <v>6.966143</v>
      </c>
      <c r="K542" s="84">
        <v>911.79</v>
      </c>
      <c r="L542" s="85">
        <f t="shared" si="111"/>
        <v>0.007640073920529946</v>
      </c>
      <c r="M542" s="86">
        <v>307.38</v>
      </c>
      <c r="N542" s="86">
        <f t="shared" si="112"/>
        <v>2.348405921692495</v>
      </c>
      <c r="O542" s="86">
        <f t="shared" si="107"/>
        <v>458.4044352317968</v>
      </c>
      <c r="P542" s="86">
        <f>N542*60</f>
        <v>140.90435530154969</v>
      </c>
      <c r="Q542" s="11"/>
      <c r="R542" s="10"/>
      <c r="S542" s="10"/>
    </row>
    <row r="543" spans="1:19" s="9" customFormat="1" ht="12.75">
      <c r="A543" s="180"/>
      <c r="B543" s="82" t="s">
        <v>657</v>
      </c>
      <c r="C543" s="97">
        <v>48</v>
      </c>
      <c r="D543" s="97" t="s">
        <v>656</v>
      </c>
      <c r="E543" s="83">
        <v>19.8</v>
      </c>
      <c r="F543" s="83">
        <v>4.177</v>
      </c>
      <c r="G543" s="83">
        <v>7.36</v>
      </c>
      <c r="H543" s="83">
        <v>8.263</v>
      </c>
      <c r="I543" s="84">
        <v>2591.49</v>
      </c>
      <c r="J543" s="83">
        <v>19.8</v>
      </c>
      <c r="K543" s="84">
        <v>2591.5</v>
      </c>
      <c r="L543" s="85">
        <f t="shared" si="111"/>
        <v>0.007640362724290951</v>
      </c>
      <c r="M543" s="86">
        <v>225</v>
      </c>
      <c r="N543" s="86">
        <f t="shared" si="112"/>
        <v>1.719081612965464</v>
      </c>
      <c r="O543" s="86">
        <f aca="true" t="shared" si="113" ref="O543:O568">L543*60*1000</f>
        <v>458.42176345745713</v>
      </c>
      <c r="P543" s="86">
        <f aca="true" t="shared" si="114" ref="P543:P550">O543*M543/1000</f>
        <v>103.14489677792785</v>
      </c>
      <c r="R543" s="10"/>
      <c r="S543" s="10"/>
    </row>
    <row r="544" spans="1:19" s="9" customFormat="1" ht="12.75">
      <c r="A544" s="180"/>
      <c r="B544" s="118" t="s">
        <v>270</v>
      </c>
      <c r="C544" s="160">
        <v>23</v>
      </c>
      <c r="D544" s="160">
        <v>1963</v>
      </c>
      <c r="E544" s="83">
        <v>9.7568</v>
      </c>
      <c r="F544" s="83">
        <v>1.326</v>
      </c>
      <c r="G544" s="83">
        <v>0.24</v>
      </c>
      <c r="H544" s="83">
        <v>8.1908</v>
      </c>
      <c r="I544" s="84">
        <v>1070.85</v>
      </c>
      <c r="J544" s="83">
        <v>7.87</v>
      </c>
      <c r="K544" s="84">
        <v>1029.11</v>
      </c>
      <c r="L544" s="85">
        <f t="shared" si="111"/>
        <v>0.007647384633323941</v>
      </c>
      <c r="M544" s="86">
        <v>343.459</v>
      </c>
      <c r="N544" s="86">
        <f t="shared" si="112"/>
        <v>2.6265630787768077</v>
      </c>
      <c r="O544" s="86">
        <f t="shared" si="113"/>
        <v>458.84307799943645</v>
      </c>
      <c r="P544" s="86">
        <f t="shared" si="114"/>
        <v>157.59378472660845</v>
      </c>
      <c r="R544" s="10"/>
      <c r="S544" s="10"/>
    </row>
    <row r="545" spans="1:19" s="9" customFormat="1" ht="12.75">
      <c r="A545" s="180"/>
      <c r="B545" s="82" t="s">
        <v>517</v>
      </c>
      <c r="C545" s="84">
        <v>13</v>
      </c>
      <c r="D545" s="97" t="s">
        <v>31</v>
      </c>
      <c r="E545" s="83">
        <f aca="true" t="shared" si="115" ref="E545:E550">F545+G545+H545</f>
        <v>19.95</v>
      </c>
      <c r="F545" s="83"/>
      <c r="G545" s="83">
        <v>0.065808</v>
      </c>
      <c r="H545" s="83">
        <v>19.884192</v>
      </c>
      <c r="I545" s="84">
        <v>2599.57</v>
      </c>
      <c r="J545" s="83">
        <v>19.884192</v>
      </c>
      <c r="K545" s="84">
        <v>2599.57</v>
      </c>
      <c r="L545" s="85">
        <f t="shared" si="111"/>
        <v>0.007649031185926902</v>
      </c>
      <c r="M545" s="86">
        <v>221.4</v>
      </c>
      <c r="N545" s="86">
        <f t="shared" si="112"/>
        <v>1.6934955045642162</v>
      </c>
      <c r="O545" s="86">
        <f t="shared" si="113"/>
        <v>458.94187115561414</v>
      </c>
      <c r="P545" s="86">
        <f t="shared" si="114"/>
        <v>101.60973027385297</v>
      </c>
      <c r="R545" s="10"/>
      <c r="S545" s="10"/>
    </row>
    <row r="546" spans="1:19" s="9" customFormat="1" ht="12.75">
      <c r="A546" s="180"/>
      <c r="B546" s="118" t="s">
        <v>367</v>
      </c>
      <c r="C546" s="160">
        <v>29</v>
      </c>
      <c r="D546" s="160">
        <v>1962</v>
      </c>
      <c r="E546" s="168">
        <f t="shared" si="115"/>
        <v>9.73</v>
      </c>
      <c r="F546" s="168">
        <v>0</v>
      </c>
      <c r="G546" s="168">
        <v>0</v>
      </c>
      <c r="H546" s="168">
        <v>9.73</v>
      </c>
      <c r="I546" s="169">
        <v>1326.36</v>
      </c>
      <c r="J546" s="168">
        <v>9.73</v>
      </c>
      <c r="K546" s="169">
        <v>1271.96</v>
      </c>
      <c r="L546" s="157">
        <f t="shared" si="111"/>
        <v>0.007649611623007013</v>
      </c>
      <c r="M546" s="158">
        <v>320.7</v>
      </c>
      <c r="N546" s="159">
        <f t="shared" si="112"/>
        <v>2.453230447498349</v>
      </c>
      <c r="O546" s="159">
        <f t="shared" si="113"/>
        <v>458.9766973804208</v>
      </c>
      <c r="P546" s="159">
        <f t="shared" si="114"/>
        <v>147.19382684990094</v>
      </c>
      <c r="R546" s="10"/>
      <c r="S546" s="10"/>
    </row>
    <row r="547" spans="1:19" s="9" customFormat="1" ht="12.75">
      <c r="A547" s="180"/>
      <c r="B547" s="82" t="s">
        <v>518</v>
      </c>
      <c r="C547" s="84">
        <v>54</v>
      </c>
      <c r="D547" s="97" t="s">
        <v>31</v>
      </c>
      <c r="E547" s="83">
        <f t="shared" si="115"/>
        <v>37.142613</v>
      </c>
      <c r="F547" s="83">
        <v>5.814</v>
      </c>
      <c r="G547" s="83">
        <v>8.64</v>
      </c>
      <c r="H547" s="83">
        <v>22.688613</v>
      </c>
      <c r="I547" s="84">
        <v>2957.8</v>
      </c>
      <c r="J547" s="83">
        <v>22.688613</v>
      </c>
      <c r="K547" s="84">
        <v>2957.8</v>
      </c>
      <c r="L547" s="85">
        <f t="shared" si="111"/>
        <v>0.007670773209818108</v>
      </c>
      <c r="M547" s="86">
        <v>221.4</v>
      </c>
      <c r="N547" s="86">
        <f t="shared" si="112"/>
        <v>1.6983091886537292</v>
      </c>
      <c r="O547" s="86">
        <f t="shared" si="113"/>
        <v>460.24639258908644</v>
      </c>
      <c r="P547" s="86">
        <f t="shared" si="114"/>
        <v>101.89855131922374</v>
      </c>
      <c r="R547" s="10"/>
      <c r="S547" s="10"/>
    </row>
    <row r="548" spans="1:19" s="9" customFormat="1" ht="12.75">
      <c r="A548" s="180"/>
      <c r="B548" s="118" t="s">
        <v>368</v>
      </c>
      <c r="C548" s="160">
        <v>39</v>
      </c>
      <c r="D548" s="160">
        <v>1970</v>
      </c>
      <c r="E548" s="168">
        <f t="shared" si="115"/>
        <v>14.17</v>
      </c>
      <c r="F548" s="168">
        <v>0</v>
      </c>
      <c r="G548" s="168">
        <v>0</v>
      </c>
      <c r="H548" s="168">
        <v>14.17</v>
      </c>
      <c r="I548" s="169">
        <v>1844.65</v>
      </c>
      <c r="J548" s="168">
        <v>14.17</v>
      </c>
      <c r="K548" s="169">
        <v>1844.65</v>
      </c>
      <c r="L548" s="157">
        <f t="shared" si="111"/>
        <v>0.007681674030303851</v>
      </c>
      <c r="M548" s="158">
        <v>320.7</v>
      </c>
      <c r="N548" s="159">
        <f t="shared" si="112"/>
        <v>2.4635128615184447</v>
      </c>
      <c r="O548" s="159">
        <f t="shared" si="113"/>
        <v>460.90044181823106</v>
      </c>
      <c r="P548" s="159">
        <f t="shared" si="114"/>
        <v>147.8107716911067</v>
      </c>
      <c r="Q548" s="11"/>
      <c r="R548" s="10"/>
      <c r="S548" s="10"/>
    </row>
    <row r="549" spans="1:19" s="9" customFormat="1" ht="12.75">
      <c r="A549" s="180"/>
      <c r="B549" s="133" t="s">
        <v>757</v>
      </c>
      <c r="C549" s="97">
        <v>12</v>
      </c>
      <c r="D549" s="97" t="s">
        <v>31</v>
      </c>
      <c r="E549" s="83">
        <f t="shared" si="115"/>
        <v>6.710000000000001</v>
      </c>
      <c r="F549" s="83">
        <v>0.864</v>
      </c>
      <c r="G549" s="83">
        <v>1.6</v>
      </c>
      <c r="H549" s="83">
        <v>4.246</v>
      </c>
      <c r="I549" s="84">
        <v>552.12</v>
      </c>
      <c r="J549" s="83">
        <v>4.246</v>
      </c>
      <c r="K549" s="84">
        <v>552.12</v>
      </c>
      <c r="L549" s="85">
        <f t="shared" si="111"/>
        <v>0.007690357168731436</v>
      </c>
      <c r="M549" s="97">
        <v>361.99</v>
      </c>
      <c r="N549" s="86">
        <f t="shared" si="112"/>
        <v>2.7838323915090926</v>
      </c>
      <c r="O549" s="86">
        <f t="shared" si="113"/>
        <v>461.4214301238861</v>
      </c>
      <c r="P549" s="86">
        <f t="shared" si="114"/>
        <v>167.02994349054555</v>
      </c>
      <c r="Q549" s="11"/>
      <c r="R549" s="10"/>
      <c r="S549" s="10"/>
    </row>
    <row r="550" spans="1:19" s="9" customFormat="1" ht="12.75">
      <c r="A550" s="180"/>
      <c r="B550" s="82" t="s">
        <v>758</v>
      </c>
      <c r="C550" s="97">
        <v>20</v>
      </c>
      <c r="D550" s="97" t="s">
        <v>31</v>
      </c>
      <c r="E550" s="83">
        <f t="shared" si="115"/>
        <v>12.91</v>
      </c>
      <c r="F550" s="83">
        <v>1.216</v>
      </c>
      <c r="G550" s="83">
        <v>3.76</v>
      </c>
      <c r="H550" s="83">
        <v>7.934</v>
      </c>
      <c r="I550" s="84">
        <v>1029.2</v>
      </c>
      <c r="J550" s="83">
        <v>6.675</v>
      </c>
      <c r="K550" s="84">
        <v>865.72</v>
      </c>
      <c r="L550" s="85">
        <f t="shared" si="111"/>
        <v>0.007710345146236658</v>
      </c>
      <c r="M550" s="97">
        <v>361.99</v>
      </c>
      <c r="N550" s="86">
        <f t="shared" si="112"/>
        <v>2.7910678394862076</v>
      </c>
      <c r="O550" s="86">
        <f t="shared" si="113"/>
        <v>462.6207087741995</v>
      </c>
      <c r="P550" s="86">
        <f t="shared" si="114"/>
        <v>167.4640703691725</v>
      </c>
      <c r="R550" s="10"/>
      <c r="S550" s="10"/>
    </row>
    <row r="551" spans="1:16" s="9" customFormat="1" ht="12.75" customHeight="1">
      <c r="A551" s="180"/>
      <c r="B551" s="118" t="s">
        <v>308</v>
      </c>
      <c r="C551" s="160">
        <v>32</v>
      </c>
      <c r="D551" s="160">
        <v>1964</v>
      </c>
      <c r="E551" s="168">
        <v>13.283998</v>
      </c>
      <c r="F551" s="168">
        <v>2.295</v>
      </c>
      <c r="G551" s="168">
        <v>0.31</v>
      </c>
      <c r="H551" s="168">
        <v>10.678998</v>
      </c>
      <c r="I551" s="169">
        <v>1384.22</v>
      </c>
      <c r="J551" s="168">
        <v>10.361071</v>
      </c>
      <c r="K551" s="169">
        <v>1343.01</v>
      </c>
      <c r="L551" s="170">
        <v>0.007714</v>
      </c>
      <c r="M551" s="158">
        <v>281.7</v>
      </c>
      <c r="N551" s="159">
        <f>L551*M551*1.09</f>
        <v>2.3686068420000006</v>
      </c>
      <c r="O551" s="159">
        <f t="shared" si="113"/>
        <v>462.84000000000003</v>
      </c>
      <c r="P551" s="159">
        <f>M551*O551/1000</f>
        <v>130.38202800000002</v>
      </c>
    </row>
    <row r="552" spans="1:19" s="9" customFormat="1" ht="12.75" customHeight="1">
      <c r="A552" s="180"/>
      <c r="B552" s="118" t="s">
        <v>472</v>
      </c>
      <c r="C552" s="160">
        <v>20</v>
      </c>
      <c r="D552" s="160">
        <v>1990</v>
      </c>
      <c r="E552" s="168">
        <v>10.4</v>
      </c>
      <c r="F552" s="168">
        <v>1.275</v>
      </c>
      <c r="G552" s="168">
        <v>3.21</v>
      </c>
      <c r="H552" s="168">
        <v>5.915</v>
      </c>
      <c r="I552" s="169">
        <v>766.34</v>
      </c>
      <c r="J552" s="168">
        <v>5.31</v>
      </c>
      <c r="K552" s="169">
        <v>687.87</v>
      </c>
      <c r="L552" s="157">
        <f aca="true" t="shared" si="116" ref="L552:L563">J552/K552</f>
        <v>0.0077194818788433855</v>
      </c>
      <c r="M552" s="158">
        <v>329.943</v>
      </c>
      <c r="N552" s="159">
        <f aca="true" t="shared" si="117" ref="N552:N563">L552*M552</f>
        <v>2.546989009551223</v>
      </c>
      <c r="O552" s="159">
        <f t="shared" si="113"/>
        <v>463.1689127306031</v>
      </c>
      <c r="P552" s="159">
        <f>O552*M552/1000</f>
        <v>152.81934057307336</v>
      </c>
      <c r="R552" s="10"/>
      <c r="S552" s="10"/>
    </row>
    <row r="553" spans="1:19" s="9" customFormat="1" ht="12.75" customHeight="1">
      <c r="A553" s="180"/>
      <c r="B553" s="118" t="s">
        <v>473</v>
      </c>
      <c r="C553" s="160">
        <v>11</v>
      </c>
      <c r="D553" s="160">
        <v>1979</v>
      </c>
      <c r="E553" s="168">
        <v>4.0676</v>
      </c>
      <c r="F553" s="168" t="s">
        <v>451</v>
      </c>
      <c r="G553" s="168" t="s">
        <v>451</v>
      </c>
      <c r="H553" s="168">
        <v>4.0676</v>
      </c>
      <c r="I553" s="169">
        <v>774.03</v>
      </c>
      <c r="J553" s="168">
        <v>4.07</v>
      </c>
      <c r="K553" s="169">
        <v>527.17</v>
      </c>
      <c r="L553" s="157">
        <f t="shared" si="116"/>
        <v>0.007720469677713073</v>
      </c>
      <c r="M553" s="158">
        <v>329.943</v>
      </c>
      <c r="N553" s="159">
        <f t="shared" si="117"/>
        <v>2.547314926873684</v>
      </c>
      <c r="O553" s="159">
        <f t="shared" si="113"/>
        <v>463.2281806627844</v>
      </c>
      <c r="P553" s="159">
        <f>O553*M553/1000</f>
        <v>152.83889561242106</v>
      </c>
      <c r="R553" s="10"/>
      <c r="S553" s="10"/>
    </row>
    <row r="554" spans="1:19" s="9" customFormat="1" ht="12.75" customHeight="1">
      <c r="A554" s="180"/>
      <c r="B554" s="82" t="s">
        <v>146</v>
      </c>
      <c r="C554" s="97">
        <v>52</v>
      </c>
      <c r="D554" s="97">
        <v>1988</v>
      </c>
      <c r="E554" s="83">
        <v>42.47</v>
      </c>
      <c r="F554" s="83">
        <v>10.385</v>
      </c>
      <c r="G554" s="83">
        <v>6.54</v>
      </c>
      <c r="H554" s="83">
        <f>E554-F554-G554</f>
        <v>25.545</v>
      </c>
      <c r="I554" s="84">
        <v>3304</v>
      </c>
      <c r="J554" s="83">
        <f>H554</f>
        <v>25.545</v>
      </c>
      <c r="K554" s="84">
        <f>I554</f>
        <v>3304</v>
      </c>
      <c r="L554" s="85">
        <f t="shared" si="116"/>
        <v>0.007731537530266344</v>
      </c>
      <c r="M554" s="86">
        <v>288.2</v>
      </c>
      <c r="N554" s="86">
        <f t="shared" si="117"/>
        <v>2.22822911622276</v>
      </c>
      <c r="O554" s="86">
        <f t="shared" si="113"/>
        <v>463.89225181598067</v>
      </c>
      <c r="P554" s="86">
        <f>O554*M554/1000</f>
        <v>133.69374697336562</v>
      </c>
      <c r="R554" s="10"/>
      <c r="S554" s="10"/>
    </row>
    <row r="555" spans="1:19" s="9" customFormat="1" ht="12.75" customHeight="1">
      <c r="A555" s="180"/>
      <c r="B555" s="82" t="s">
        <v>62</v>
      </c>
      <c r="C555" s="97">
        <v>72</v>
      </c>
      <c r="D555" s="97">
        <v>1980</v>
      </c>
      <c r="E555" s="83">
        <v>52.0198</v>
      </c>
      <c r="F555" s="83">
        <v>5.416022</v>
      </c>
      <c r="G555" s="83">
        <v>11.52</v>
      </c>
      <c r="H555" s="83">
        <v>31.931025</v>
      </c>
      <c r="I555" s="84">
        <v>4129.55</v>
      </c>
      <c r="J555" s="83">
        <f>H555</f>
        <v>31.931025</v>
      </c>
      <c r="K555" s="84">
        <v>4129.55</v>
      </c>
      <c r="L555" s="85">
        <f t="shared" si="116"/>
        <v>0.007732325556053323</v>
      </c>
      <c r="M555" s="86">
        <v>307.38</v>
      </c>
      <c r="N555" s="86">
        <f t="shared" si="117"/>
        <v>2.3767622294196706</v>
      </c>
      <c r="O555" s="86">
        <f t="shared" si="113"/>
        <v>463.93953336319936</v>
      </c>
      <c r="P555" s="86">
        <f>N555*60</f>
        <v>142.60573376518025</v>
      </c>
      <c r="R555" s="10"/>
      <c r="S555" s="10"/>
    </row>
    <row r="556" spans="1:19" s="9" customFormat="1" ht="12.75" customHeight="1">
      <c r="A556" s="180"/>
      <c r="B556" s="82" t="s">
        <v>519</v>
      </c>
      <c r="C556" s="84">
        <v>30</v>
      </c>
      <c r="D556" s="97" t="s">
        <v>31</v>
      </c>
      <c r="E556" s="83">
        <f>F556+G556+H556</f>
        <v>22.148226</v>
      </c>
      <c r="F556" s="83">
        <v>2.55</v>
      </c>
      <c r="G556" s="83">
        <v>4.72</v>
      </c>
      <c r="H556" s="83">
        <v>14.878226</v>
      </c>
      <c r="I556" s="84">
        <v>1922.87</v>
      </c>
      <c r="J556" s="83">
        <v>14.878226</v>
      </c>
      <c r="K556" s="84">
        <v>1922.87</v>
      </c>
      <c r="L556" s="85">
        <f t="shared" si="116"/>
        <v>0.007737510076084187</v>
      </c>
      <c r="M556" s="86">
        <v>221.4</v>
      </c>
      <c r="N556" s="86">
        <f t="shared" si="117"/>
        <v>1.713084730845039</v>
      </c>
      <c r="O556" s="86">
        <f t="shared" si="113"/>
        <v>464.2506045650512</v>
      </c>
      <c r="P556" s="86">
        <f aca="true" t="shared" si="118" ref="P556:P563">O556*M556/1000</f>
        <v>102.78508385070235</v>
      </c>
      <c r="R556" s="10"/>
      <c r="S556" s="10"/>
    </row>
    <row r="557" spans="1:19" s="9" customFormat="1" ht="12.75" customHeight="1">
      <c r="A557" s="180"/>
      <c r="B557" s="82" t="s">
        <v>658</v>
      </c>
      <c r="C557" s="97">
        <v>40</v>
      </c>
      <c r="D557" s="97">
        <v>1977</v>
      </c>
      <c r="E557" s="83">
        <v>16.2</v>
      </c>
      <c r="F557" s="83">
        <v>2.631</v>
      </c>
      <c r="G557" s="83">
        <v>6.4</v>
      </c>
      <c r="H557" s="83">
        <v>7.169</v>
      </c>
      <c r="I557" s="84">
        <v>2091.27</v>
      </c>
      <c r="J557" s="83">
        <v>16.2</v>
      </c>
      <c r="K557" s="84">
        <v>2091.3</v>
      </c>
      <c r="L557" s="85">
        <f t="shared" si="116"/>
        <v>0.007746377851097402</v>
      </c>
      <c r="M557" s="86">
        <v>225</v>
      </c>
      <c r="N557" s="86">
        <f t="shared" si="117"/>
        <v>1.7429350164969155</v>
      </c>
      <c r="O557" s="86">
        <f t="shared" si="113"/>
        <v>464.78267106584417</v>
      </c>
      <c r="P557" s="86">
        <f t="shared" si="118"/>
        <v>104.57610098981493</v>
      </c>
      <c r="R557" s="10"/>
      <c r="S557" s="10"/>
    </row>
    <row r="558" spans="1:19" s="9" customFormat="1" ht="12.75" customHeight="1">
      <c r="A558" s="180"/>
      <c r="B558" s="118" t="s">
        <v>369</v>
      </c>
      <c r="C558" s="160">
        <v>7</v>
      </c>
      <c r="D558" s="160">
        <v>1942</v>
      </c>
      <c r="E558" s="168">
        <f>F558+G558+H558</f>
        <v>2.18</v>
      </c>
      <c r="F558" s="168">
        <v>0</v>
      </c>
      <c r="G558" s="168">
        <v>0</v>
      </c>
      <c r="H558" s="168">
        <v>2.18</v>
      </c>
      <c r="I558" s="169">
        <v>280.84</v>
      </c>
      <c r="J558" s="168">
        <v>2.18</v>
      </c>
      <c r="K558" s="169">
        <v>280.84</v>
      </c>
      <c r="L558" s="157">
        <f t="shared" si="116"/>
        <v>0.007762427004700186</v>
      </c>
      <c r="M558" s="158">
        <v>320.7</v>
      </c>
      <c r="N558" s="159">
        <f t="shared" si="117"/>
        <v>2.4894103404073498</v>
      </c>
      <c r="O558" s="159">
        <f t="shared" si="113"/>
        <v>465.74562028201115</v>
      </c>
      <c r="P558" s="159">
        <f t="shared" si="118"/>
        <v>149.36462042444097</v>
      </c>
      <c r="R558" s="10"/>
      <c r="S558" s="10"/>
    </row>
    <row r="559" spans="1:19" s="9" customFormat="1" ht="12.75" customHeight="1">
      <c r="A559" s="180"/>
      <c r="B559" s="118" t="s">
        <v>370</v>
      </c>
      <c r="C559" s="160">
        <v>31</v>
      </c>
      <c r="D559" s="160">
        <v>1993</v>
      </c>
      <c r="E559" s="168">
        <f>F559+G559+H559</f>
        <v>21.8</v>
      </c>
      <c r="F559" s="168">
        <v>2.44</v>
      </c>
      <c r="G559" s="168">
        <v>4.8</v>
      </c>
      <c r="H559" s="168">
        <v>14.56</v>
      </c>
      <c r="I559" s="169">
        <v>1782.26</v>
      </c>
      <c r="J559" s="168">
        <v>14.56</v>
      </c>
      <c r="K559" s="169">
        <v>1872.26</v>
      </c>
      <c r="L559" s="157">
        <f t="shared" si="116"/>
        <v>0.007776697680877656</v>
      </c>
      <c r="M559" s="158">
        <v>320.7</v>
      </c>
      <c r="N559" s="159">
        <f t="shared" si="117"/>
        <v>2.4939869462574644</v>
      </c>
      <c r="O559" s="159">
        <f t="shared" si="113"/>
        <v>466.60186085265934</v>
      </c>
      <c r="P559" s="159">
        <f t="shared" si="118"/>
        <v>149.63921677544786</v>
      </c>
      <c r="R559" s="10"/>
      <c r="S559" s="10"/>
    </row>
    <row r="560" spans="1:19" s="9" customFormat="1" ht="12.75" customHeight="1">
      <c r="A560" s="180"/>
      <c r="B560" s="124" t="s">
        <v>412</v>
      </c>
      <c r="C560" s="161">
        <v>24</v>
      </c>
      <c r="D560" s="162">
        <v>1962</v>
      </c>
      <c r="E560" s="163">
        <f>F560+G560+H560</f>
        <v>10.199995999999999</v>
      </c>
      <c r="F560" s="164">
        <v>1.581</v>
      </c>
      <c r="G560" s="164">
        <v>0</v>
      </c>
      <c r="H560" s="164">
        <v>8.618996</v>
      </c>
      <c r="I560" s="165">
        <v>1108.08</v>
      </c>
      <c r="J560" s="164">
        <v>8.618996</v>
      </c>
      <c r="K560" s="165">
        <v>1108.08</v>
      </c>
      <c r="L560" s="166">
        <f t="shared" si="116"/>
        <v>0.007778315645079778</v>
      </c>
      <c r="M560" s="167">
        <v>315.01</v>
      </c>
      <c r="N560" s="167">
        <f t="shared" si="117"/>
        <v>2.4502472113565807</v>
      </c>
      <c r="O560" s="167">
        <f t="shared" si="113"/>
        <v>466.69893870478666</v>
      </c>
      <c r="P560" s="167">
        <f t="shared" si="118"/>
        <v>147.01483268139486</v>
      </c>
      <c r="R560" s="10"/>
      <c r="S560" s="10"/>
    </row>
    <row r="561" spans="1:19" s="9" customFormat="1" ht="12.75" customHeight="1">
      <c r="A561" s="180"/>
      <c r="B561" s="82" t="s">
        <v>520</v>
      </c>
      <c r="C561" s="84">
        <v>62</v>
      </c>
      <c r="D561" s="97" t="s">
        <v>31</v>
      </c>
      <c r="E561" s="83">
        <f>F561+G561+H561</f>
        <v>32.031645</v>
      </c>
      <c r="F561" s="83">
        <v>3.978</v>
      </c>
      <c r="G561" s="83">
        <v>9.69</v>
      </c>
      <c r="H561" s="83">
        <v>18.363645</v>
      </c>
      <c r="I561" s="84">
        <v>2358.24</v>
      </c>
      <c r="J561" s="83">
        <v>18.363644</v>
      </c>
      <c r="K561" s="84">
        <v>2358.24</v>
      </c>
      <c r="L561" s="85">
        <f t="shared" si="116"/>
        <v>0.007787012348191873</v>
      </c>
      <c r="M561" s="86">
        <v>221.4</v>
      </c>
      <c r="N561" s="86">
        <f t="shared" si="117"/>
        <v>1.7240445338896808</v>
      </c>
      <c r="O561" s="86">
        <f t="shared" si="113"/>
        <v>467.2207408915124</v>
      </c>
      <c r="P561" s="86">
        <f t="shared" si="118"/>
        <v>103.44267203338084</v>
      </c>
      <c r="R561" s="10"/>
      <c r="S561" s="10"/>
    </row>
    <row r="562" spans="1:19" s="9" customFormat="1" ht="12.75" customHeight="1">
      <c r="A562" s="180"/>
      <c r="B562" s="82" t="s">
        <v>809</v>
      </c>
      <c r="C562" s="97">
        <v>40</v>
      </c>
      <c r="D562" s="97" t="s">
        <v>31</v>
      </c>
      <c r="E562" s="83">
        <v>29.1</v>
      </c>
      <c r="F562" s="83">
        <v>5.779</v>
      </c>
      <c r="G562" s="83">
        <v>6.4</v>
      </c>
      <c r="H562" s="83">
        <v>16.92</v>
      </c>
      <c r="I562" s="126" t="s">
        <v>801</v>
      </c>
      <c r="J562" s="83">
        <v>16.92</v>
      </c>
      <c r="K562" s="84">
        <v>2168.68</v>
      </c>
      <c r="L562" s="85">
        <f t="shared" si="116"/>
        <v>0.007801980928491065</v>
      </c>
      <c r="M562" s="86">
        <v>354.25</v>
      </c>
      <c r="N562" s="86">
        <f t="shared" si="117"/>
        <v>2.76385174391796</v>
      </c>
      <c r="O562" s="86">
        <f t="shared" si="113"/>
        <v>468.11885570946396</v>
      </c>
      <c r="P562" s="86">
        <f t="shared" si="118"/>
        <v>165.83110463507762</v>
      </c>
      <c r="R562" s="10"/>
      <c r="S562" s="10"/>
    </row>
    <row r="563" spans="1:19" s="9" customFormat="1" ht="12.75">
      <c r="A563" s="180"/>
      <c r="B563" s="82" t="s">
        <v>102</v>
      </c>
      <c r="C563" s="97">
        <v>28</v>
      </c>
      <c r="D563" s="97">
        <v>1957</v>
      </c>
      <c r="E563" s="83">
        <v>11.41</v>
      </c>
      <c r="F563" s="83"/>
      <c r="G563" s="83"/>
      <c r="H563" s="83">
        <f>E563-F563-G563</f>
        <v>11.41</v>
      </c>
      <c r="I563" s="84">
        <v>1461.6</v>
      </c>
      <c r="J563" s="83">
        <f>H563/I563*K563</f>
        <v>10.149560344827588</v>
      </c>
      <c r="K563" s="84">
        <v>1300.14</v>
      </c>
      <c r="L563" s="85">
        <f t="shared" si="116"/>
        <v>0.007806513409961686</v>
      </c>
      <c r="M563" s="86">
        <v>332.56</v>
      </c>
      <c r="N563" s="86">
        <f t="shared" si="117"/>
        <v>2.5961340996168585</v>
      </c>
      <c r="O563" s="86">
        <f t="shared" si="113"/>
        <v>468.39080459770116</v>
      </c>
      <c r="P563" s="86">
        <f t="shared" si="118"/>
        <v>155.7680459770115</v>
      </c>
      <c r="R563" s="10"/>
      <c r="S563" s="10"/>
    </row>
    <row r="564" spans="1:19" s="9" customFormat="1" ht="12.75">
      <c r="A564" s="180"/>
      <c r="B564" s="118" t="s">
        <v>309</v>
      </c>
      <c r="C564" s="160">
        <v>12</v>
      </c>
      <c r="D564" s="160">
        <v>1972</v>
      </c>
      <c r="E564" s="168">
        <v>4.157999</v>
      </c>
      <c r="F564" s="168">
        <v>0</v>
      </c>
      <c r="G564" s="168">
        <v>0</v>
      </c>
      <c r="H564" s="168">
        <v>4.157999</v>
      </c>
      <c r="I564" s="169">
        <v>532.47</v>
      </c>
      <c r="J564" s="168">
        <v>4.157999</v>
      </c>
      <c r="K564" s="169">
        <v>532.47</v>
      </c>
      <c r="L564" s="170">
        <v>0.007808</v>
      </c>
      <c r="M564" s="158">
        <v>281.7</v>
      </c>
      <c r="N564" s="159">
        <f>L564*M564*1.09</f>
        <v>2.3974698240000003</v>
      </c>
      <c r="O564" s="159">
        <f t="shared" si="113"/>
        <v>468.48</v>
      </c>
      <c r="P564" s="159">
        <f>M564*O564/1000</f>
        <v>131.97081599999999</v>
      </c>
      <c r="R564" s="10"/>
      <c r="S564" s="10"/>
    </row>
    <row r="565" spans="1:19" s="9" customFormat="1" ht="12.75">
      <c r="A565" s="180"/>
      <c r="B565" s="82" t="s">
        <v>521</v>
      </c>
      <c r="C565" s="84">
        <v>42</v>
      </c>
      <c r="D565" s="97" t="s">
        <v>31</v>
      </c>
      <c r="E565" s="83">
        <f>F565+G565+H565</f>
        <v>24.096452</v>
      </c>
      <c r="F565" s="83">
        <v>2.346</v>
      </c>
      <c r="G565" s="83">
        <v>6.74</v>
      </c>
      <c r="H565" s="83">
        <v>15.010452</v>
      </c>
      <c r="I565" s="84">
        <v>1919.95</v>
      </c>
      <c r="J565" s="83">
        <v>15.010452</v>
      </c>
      <c r="K565" s="84">
        <v>1919.95</v>
      </c>
      <c r="L565" s="85">
        <f aca="true" t="shared" si="119" ref="L565:L575">J565/K565</f>
        <v>0.007818147347587177</v>
      </c>
      <c r="M565" s="86">
        <v>221.4</v>
      </c>
      <c r="N565" s="86">
        <f aca="true" t="shared" si="120" ref="N565:N575">L565*M565</f>
        <v>1.730937822755801</v>
      </c>
      <c r="O565" s="86">
        <f t="shared" si="113"/>
        <v>469.0888408552306</v>
      </c>
      <c r="P565" s="86">
        <f>O565*M565/1000</f>
        <v>103.85626936534807</v>
      </c>
      <c r="R565" s="10"/>
      <c r="S565" s="10"/>
    </row>
    <row r="566" spans="1:19" s="9" customFormat="1" ht="13.5" customHeight="1">
      <c r="A566" s="180"/>
      <c r="B566" s="118" t="s">
        <v>371</v>
      </c>
      <c r="C566" s="160">
        <v>10</v>
      </c>
      <c r="D566" s="160">
        <v>1925</v>
      </c>
      <c r="E566" s="168">
        <f>F566+G566+H566</f>
        <v>5.68</v>
      </c>
      <c r="F566" s="168">
        <v>0.57</v>
      </c>
      <c r="G566" s="168">
        <v>1.52</v>
      </c>
      <c r="H566" s="168">
        <v>3.59</v>
      </c>
      <c r="I566" s="169">
        <v>547.67</v>
      </c>
      <c r="J566" s="168">
        <v>3.59</v>
      </c>
      <c r="K566" s="169">
        <v>458.42</v>
      </c>
      <c r="L566" s="157">
        <f t="shared" si="119"/>
        <v>0.00783124645521574</v>
      </c>
      <c r="M566" s="158">
        <v>320.7</v>
      </c>
      <c r="N566" s="159">
        <f t="shared" si="120"/>
        <v>2.5114807381876876</v>
      </c>
      <c r="O566" s="159">
        <f t="shared" si="113"/>
        <v>469.8747873129444</v>
      </c>
      <c r="P566" s="159">
        <f>O566*M566/1000</f>
        <v>150.6888442912613</v>
      </c>
      <c r="Q566" s="11"/>
      <c r="R566" s="10"/>
      <c r="S566" s="10"/>
    </row>
    <row r="567" spans="1:19" s="9" customFormat="1" ht="12" customHeight="1">
      <c r="A567" s="180"/>
      <c r="B567" s="82" t="s">
        <v>645</v>
      </c>
      <c r="C567" s="97">
        <v>41</v>
      </c>
      <c r="D567" s="97" t="s">
        <v>31</v>
      </c>
      <c r="E567" s="83">
        <f>SUM(F567:H567)</f>
        <v>9.5</v>
      </c>
      <c r="F567" s="83">
        <v>2.2</v>
      </c>
      <c r="G567" s="83">
        <v>0.2</v>
      </c>
      <c r="H567" s="83">
        <v>7.1</v>
      </c>
      <c r="I567" s="84">
        <v>910.85</v>
      </c>
      <c r="J567" s="83">
        <v>6.8</v>
      </c>
      <c r="K567" s="84">
        <v>867.57</v>
      </c>
      <c r="L567" s="157">
        <f t="shared" si="119"/>
        <v>0.007837984254872804</v>
      </c>
      <c r="M567" s="158">
        <v>209.8</v>
      </c>
      <c r="N567" s="159">
        <f t="shared" si="120"/>
        <v>1.6444090966723144</v>
      </c>
      <c r="O567" s="159">
        <f t="shared" si="113"/>
        <v>470.27905529236824</v>
      </c>
      <c r="P567" s="159">
        <f>O567*M567/1000</f>
        <v>98.66454580033886</v>
      </c>
      <c r="R567" s="10"/>
      <c r="S567" s="10"/>
    </row>
    <row r="568" spans="1:19" s="9" customFormat="1" ht="12.75" customHeight="1">
      <c r="A568" s="180"/>
      <c r="B568" s="118" t="s">
        <v>474</v>
      </c>
      <c r="C568" s="160">
        <v>12</v>
      </c>
      <c r="D568" s="160">
        <v>1964</v>
      </c>
      <c r="E568" s="168">
        <v>3.3764</v>
      </c>
      <c r="F568" s="168" t="s">
        <v>451</v>
      </c>
      <c r="G568" s="168" t="s">
        <v>451</v>
      </c>
      <c r="H568" s="168">
        <v>3.3764</v>
      </c>
      <c r="I568" s="169">
        <v>430.22</v>
      </c>
      <c r="J568" s="168">
        <v>3.38</v>
      </c>
      <c r="K568" s="169">
        <v>430.22</v>
      </c>
      <c r="L568" s="157">
        <f t="shared" si="119"/>
        <v>0.007856445539491422</v>
      </c>
      <c r="M568" s="158">
        <v>329.943</v>
      </c>
      <c r="N568" s="159">
        <f t="shared" si="120"/>
        <v>2.5921792106364183</v>
      </c>
      <c r="O568" s="159">
        <f t="shared" si="113"/>
        <v>471.3867323694853</v>
      </c>
      <c r="P568" s="159">
        <f>O568*M568/1000</f>
        <v>155.53075263818508</v>
      </c>
      <c r="R568" s="10"/>
      <c r="S568" s="10"/>
    </row>
    <row r="569" spans="1:19" s="9" customFormat="1" ht="12.75">
      <c r="A569" s="180"/>
      <c r="B569" s="82" t="s">
        <v>587</v>
      </c>
      <c r="C569" s="97">
        <v>50</v>
      </c>
      <c r="D569" s="97">
        <v>1988</v>
      </c>
      <c r="E569" s="83">
        <v>30.6</v>
      </c>
      <c r="F569" s="83">
        <v>3.9683</v>
      </c>
      <c r="G569" s="83">
        <v>7.84</v>
      </c>
      <c r="H569" s="83">
        <f>E569-F569-G569</f>
        <v>18.791700000000002</v>
      </c>
      <c r="I569" s="84">
        <v>2389.81</v>
      </c>
      <c r="J569" s="83">
        <v>18.7917</v>
      </c>
      <c r="K569" s="84">
        <v>2389.81</v>
      </c>
      <c r="L569" s="85">
        <f t="shared" si="119"/>
        <v>0.007863261096070398</v>
      </c>
      <c r="M569" s="86">
        <v>243.179</v>
      </c>
      <c r="N569" s="86">
        <f t="shared" si="120"/>
        <v>1.9121799700813034</v>
      </c>
      <c r="O569" s="86">
        <f>L569*1000*60</f>
        <v>471.7956657642239</v>
      </c>
      <c r="P569" s="86">
        <f>N569*60</f>
        <v>114.7307982048782</v>
      </c>
      <c r="R569" s="10"/>
      <c r="S569" s="10"/>
    </row>
    <row r="570" spans="1:22" s="9" customFormat="1" ht="12.75">
      <c r="A570" s="180"/>
      <c r="B570" s="82" t="s">
        <v>810</v>
      </c>
      <c r="C570" s="97">
        <v>18</v>
      </c>
      <c r="D570" s="97">
        <v>1981</v>
      </c>
      <c r="E570" s="83">
        <v>12.042</v>
      </c>
      <c r="F570" s="83">
        <v>1.642</v>
      </c>
      <c r="G570" s="83">
        <v>2.88</v>
      </c>
      <c r="H570" s="83">
        <v>7.519</v>
      </c>
      <c r="I570" s="126" t="s">
        <v>801</v>
      </c>
      <c r="J570" s="83">
        <v>7.519</v>
      </c>
      <c r="K570" s="84">
        <v>955.32</v>
      </c>
      <c r="L570" s="85">
        <f t="shared" si="119"/>
        <v>0.007870661139722816</v>
      </c>
      <c r="M570" s="86">
        <v>354.25</v>
      </c>
      <c r="N570" s="86">
        <f t="shared" si="120"/>
        <v>2.7881817087468077</v>
      </c>
      <c r="O570" s="86">
        <f aca="true" t="shared" si="121" ref="O570:O580">L570*60*1000</f>
        <v>472.23966838336895</v>
      </c>
      <c r="P570" s="86">
        <f aca="true" t="shared" si="122" ref="P570:P575">O570*M570/1000</f>
        <v>167.29090252480844</v>
      </c>
      <c r="Q570" s="10"/>
      <c r="R570" s="10"/>
      <c r="S570" s="10"/>
      <c r="T570" s="12"/>
      <c r="U570" s="13"/>
      <c r="V570" s="13"/>
    </row>
    <row r="571" spans="1:19" s="9" customFormat="1" ht="12.75">
      <c r="A571" s="180"/>
      <c r="B571" s="82" t="s">
        <v>759</v>
      </c>
      <c r="C571" s="97">
        <v>9</v>
      </c>
      <c r="D571" s="97" t="s">
        <v>31</v>
      </c>
      <c r="E571" s="83">
        <f>F571+G571+H571</f>
        <v>5.399</v>
      </c>
      <c r="F571" s="83">
        <v>0.594</v>
      </c>
      <c r="G571" s="83">
        <v>1.6</v>
      </c>
      <c r="H571" s="83">
        <v>3.205</v>
      </c>
      <c r="I571" s="84">
        <v>407.19</v>
      </c>
      <c r="J571" s="83">
        <v>2.805</v>
      </c>
      <c r="K571" s="84">
        <v>356.36</v>
      </c>
      <c r="L571" s="85">
        <f t="shared" si="119"/>
        <v>0.007871253788303962</v>
      </c>
      <c r="M571" s="97">
        <v>361.99</v>
      </c>
      <c r="N571" s="86">
        <f t="shared" si="120"/>
        <v>2.8493151588281513</v>
      </c>
      <c r="O571" s="86">
        <f t="shared" si="121"/>
        <v>472.2752272982377</v>
      </c>
      <c r="P571" s="86">
        <f t="shared" si="122"/>
        <v>170.9589095296891</v>
      </c>
      <c r="Q571" s="11"/>
      <c r="R571" s="10"/>
      <c r="S571" s="10"/>
    </row>
    <row r="572" spans="1:19" s="9" customFormat="1" ht="12.75">
      <c r="A572" s="180"/>
      <c r="B572" s="82" t="s">
        <v>522</v>
      </c>
      <c r="C572" s="84">
        <v>105</v>
      </c>
      <c r="D572" s="97" t="s">
        <v>31</v>
      </c>
      <c r="E572" s="83">
        <f>F572+G572+H572</f>
        <v>33.50371</v>
      </c>
      <c r="F572" s="83">
        <v>5.049</v>
      </c>
      <c r="G572" s="83">
        <v>0.94</v>
      </c>
      <c r="H572" s="83">
        <v>27.51471</v>
      </c>
      <c r="I572" s="84">
        <v>3495.11</v>
      </c>
      <c r="J572" s="83">
        <v>27.514706</v>
      </c>
      <c r="K572" s="84">
        <v>3495.11</v>
      </c>
      <c r="L572" s="85">
        <f t="shared" si="119"/>
        <v>0.007872343359722584</v>
      </c>
      <c r="M572" s="86">
        <v>221.4</v>
      </c>
      <c r="N572" s="86">
        <f t="shared" si="120"/>
        <v>1.74293681984258</v>
      </c>
      <c r="O572" s="86">
        <f t="shared" si="121"/>
        <v>472.340601583355</v>
      </c>
      <c r="P572" s="86">
        <f t="shared" si="122"/>
        <v>104.5762091905548</v>
      </c>
      <c r="R572" s="10"/>
      <c r="S572" s="10"/>
    </row>
    <row r="573" spans="1:19" s="9" customFormat="1" ht="12" customHeight="1">
      <c r="A573" s="180"/>
      <c r="B573" s="82" t="s">
        <v>730</v>
      </c>
      <c r="C573" s="97">
        <v>12</v>
      </c>
      <c r="D573" s="97">
        <v>1987</v>
      </c>
      <c r="E573" s="83">
        <v>8.171</v>
      </c>
      <c r="F573" s="83">
        <v>0.84</v>
      </c>
      <c r="G573" s="83">
        <v>1.92</v>
      </c>
      <c r="H573" s="83">
        <v>5.411</v>
      </c>
      <c r="I573" s="84">
        <v>686.57</v>
      </c>
      <c r="J573" s="83">
        <v>5.411</v>
      </c>
      <c r="K573" s="84">
        <v>686.6</v>
      </c>
      <c r="L573" s="85">
        <f t="shared" si="119"/>
        <v>0.007880862219632974</v>
      </c>
      <c r="M573" s="86">
        <v>194.3</v>
      </c>
      <c r="N573" s="86">
        <f t="shared" si="120"/>
        <v>1.5312515292746869</v>
      </c>
      <c r="O573" s="86">
        <f t="shared" si="121"/>
        <v>472.8517331779785</v>
      </c>
      <c r="P573" s="86">
        <f t="shared" si="122"/>
        <v>91.87509175648123</v>
      </c>
      <c r="R573" s="10"/>
      <c r="S573" s="10"/>
    </row>
    <row r="574" spans="1:19" s="9" customFormat="1" ht="12.75">
      <c r="A574" s="180"/>
      <c r="B574" s="82" t="s">
        <v>103</v>
      </c>
      <c r="C574" s="97">
        <v>103</v>
      </c>
      <c r="D574" s="97">
        <v>1972</v>
      </c>
      <c r="E574" s="83">
        <v>43.45</v>
      </c>
      <c r="F574" s="83">
        <v>7.29</v>
      </c>
      <c r="G574" s="83">
        <v>15.9</v>
      </c>
      <c r="H574" s="83">
        <f>E574-F574-G574</f>
        <v>20.260000000000005</v>
      </c>
      <c r="I574" s="84">
        <v>2557</v>
      </c>
      <c r="J574" s="83">
        <f>H574/I574*K574</f>
        <v>19.35673836527181</v>
      </c>
      <c r="K574" s="97">
        <v>2443</v>
      </c>
      <c r="L574" s="85">
        <f t="shared" si="119"/>
        <v>0.007923347673054363</v>
      </c>
      <c r="M574" s="86">
        <v>332.56</v>
      </c>
      <c r="N574" s="86">
        <f t="shared" si="120"/>
        <v>2.634988502150959</v>
      </c>
      <c r="O574" s="86">
        <f t="shared" si="121"/>
        <v>475.4008603832618</v>
      </c>
      <c r="P574" s="86">
        <f t="shared" si="122"/>
        <v>158.09931012905753</v>
      </c>
      <c r="R574" s="10"/>
      <c r="S574" s="10"/>
    </row>
    <row r="575" spans="1:19" s="9" customFormat="1" ht="12.75">
      <c r="A575" s="180"/>
      <c r="B575" s="82" t="s">
        <v>104</v>
      </c>
      <c r="C575" s="97">
        <v>38</v>
      </c>
      <c r="D575" s="97">
        <v>1990</v>
      </c>
      <c r="E575" s="83">
        <v>27.37</v>
      </c>
      <c r="F575" s="83">
        <v>4.73</v>
      </c>
      <c r="G575" s="83">
        <v>5.84</v>
      </c>
      <c r="H575" s="83">
        <f>E575-F575-G575</f>
        <v>16.8</v>
      </c>
      <c r="I575" s="84">
        <v>2119.3</v>
      </c>
      <c r="J575" s="83">
        <f>H575/I575*K575</f>
        <v>16.8</v>
      </c>
      <c r="K575" s="84">
        <v>2119.3</v>
      </c>
      <c r="L575" s="85">
        <f t="shared" si="119"/>
        <v>0.007927145755674042</v>
      </c>
      <c r="M575" s="86">
        <v>332.56</v>
      </c>
      <c r="N575" s="86">
        <f t="shared" si="120"/>
        <v>2.6362515925069596</v>
      </c>
      <c r="O575" s="86">
        <f t="shared" si="121"/>
        <v>475.62874534044255</v>
      </c>
      <c r="P575" s="86">
        <f t="shared" si="122"/>
        <v>158.17509555041758</v>
      </c>
      <c r="Q575" s="11"/>
      <c r="R575" s="10"/>
      <c r="S575" s="10"/>
    </row>
    <row r="576" spans="1:19" s="9" customFormat="1" ht="12.75" customHeight="1">
      <c r="A576" s="180"/>
      <c r="B576" s="118" t="s">
        <v>310</v>
      </c>
      <c r="C576" s="160">
        <v>24</v>
      </c>
      <c r="D576" s="160">
        <v>1983</v>
      </c>
      <c r="E576" s="168">
        <v>11.575997</v>
      </c>
      <c r="F576" s="168">
        <v>0.123531</v>
      </c>
      <c r="G576" s="168">
        <v>0</v>
      </c>
      <c r="H576" s="168">
        <v>11.452466</v>
      </c>
      <c r="I576" s="169">
        <v>1443.53</v>
      </c>
      <c r="J576" s="168">
        <v>11.452466</v>
      </c>
      <c r="K576" s="169">
        <v>1443.53</v>
      </c>
      <c r="L576" s="170">
        <v>0.007933</v>
      </c>
      <c r="M576" s="158">
        <v>281.7</v>
      </c>
      <c r="N576" s="159">
        <f>L576*M576*1.09</f>
        <v>2.4358514490000003</v>
      </c>
      <c r="O576" s="159">
        <f t="shared" si="121"/>
        <v>475.9800000000001</v>
      </c>
      <c r="P576" s="159">
        <f>M576*O576/1000</f>
        <v>134.08356600000002</v>
      </c>
      <c r="R576" s="10"/>
      <c r="S576" s="10"/>
    </row>
    <row r="577" spans="1:19" s="9" customFormat="1" ht="12.75">
      <c r="A577" s="180"/>
      <c r="B577" s="82" t="s">
        <v>332</v>
      </c>
      <c r="C577" s="97">
        <v>40</v>
      </c>
      <c r="D577" s="97">
        <v>1978</v>
      </c>
      <c r="E577" s="83">
        <v>26.221999</v>
      </c>
      <c r="F577" s="83">
        <v>3.158991</v>
      </c>
      <c r="G577" s="83">
        <v>6.3226</v>
      </c>
      <c r="H577" s="83">
        <v>16.740408</v>
      </c>
      <c r="I577" s="84">
        <v>2108.1</v>
      </c>
      <c r="J577" s="83">
        <v>16.740408</v>
      </c>
      <c r="K577" s="84">
        <v>2108.1</v>
      </c>
      <c r="L577" s="85">
        <f aca="true" t="shared" si="123" ref="L577:L586">J577/K577</f>
        <v>0.007940993311512736</v>
      </c>
      <c r="M577" s="86">
        <v>247.6</v>
      </c>
      <c r="N577" s="86">
        <f aca="true" t="shared" si="124" ref="N577:N586">L577*M577</f>
        <v>1.9661899439305535</v>
      </c>
      <c r="O577" s="86">
        <f t="shared" si="121"/>
        <v>476.45959869076415</v>
      </c>
      <c r="P577" s="86">
        <f>O577*M577/1000</f>
        <v>117.9713966358332</v>
      </c>
      <c r="R577" s="10"/>
      <c r="S577" s="10"/>
    </row>
    <row r="578" spans="1:25" s="9" customFormat="1" ht="12.75">
      <c r="A578" s="180"/>
      <c r="B578" s="82" t="s">
        <v>707</v>
      </c>
      <c r="C578" s="97">
        <v>30</v>
      </c>
      <c r="D578" s="97"/>
      <c r="E578" s="83">
        <v>19.2</v>
      </c>
      <c r="F578" s="83">
        <v>0.7</v>
      </c>
      <c r="G578" s="83">
        <v>4.8</v>
      </c>
      <c r="H578" s="83">
        <v>13.7</v>
      </c>
      <c r="I578" s="126"/>
      <c r="J578" s="83">
        <v>13.7</v>
      </c>
      <c r="K578" s="84">
        <v>1725</v>
      </c>
      <c r="L578" s="85">
        <f t="shared" si="123"/>
        <v>0.007942028985507246</v>
      </c>
      <c r="M578" s="86">
        <v>234.1</v>
      </c>
      <c r="N578" s="86">
        <f t="shared" si="124"/>
        <v>1.8592289855072461</v>
      </c>
      <c r="O578" s="86">
        <f t="shared" si="121"/>
        <v>476.5217391304347</v>
      </c>
      <c r="P578" s="86">
        <f>O578*M578/1000</f>
        <v>111.55373913043475</v>
      </c>
      <c r="Q578" s="10"/>
      <c r="R578" s="10"/>
      <c r="S578" s="10"/>
      <c r="T578" s="12"/>
      <c r="U578" s="13"/>
      <c r="V578" s="13"/>
      <c r="X578" s="14"/>
      <c r="Y578" s="14"/>
    </row>
    <row r="579" spans="1:19" s="9" customFormat="1" ht="12.75">
      <c r="A579" s="180"/>
      <c r="B579" s="124" t="s">
        <v>413</v>
      </c>
      <c r="C579" s="161">
        <v>33</v>
      </c>
      <c r="D579" s="162">
        <v>1930</v>
      </c>
      <c r="E579" s="163">
        <f>F579+G579+H579</f>
        <v>11.966434</v>
      </c>
      <c r="F579" s="164">
        <v>1.104524</v>
      </c>
      <c r="G579" s="164">
        <v>0</v>
      </c>
      <c r="H579" s="164">
        <v>10.86191</v>
      </c>
      <c r="I579" s="165">
        <v>1548.33</v>
      </c>
      <c r="J579" s="164">
        <v>10.86191</v>
      </c>
      <c r="K579" s="165">
        <v>1366.25</v>
      </c>
      <c r="L579" s="166">
        <f t="shared" si="123"/>
        <v>0.00795016285452882</v>
      </c>
      <c r="M579" s="167">
        <v>315.01</v>
      </c>
      <c r="N579" s="167">
        <f t="shared" si="124"/>
        <v>2.5043808008051234</v>
      </c>
      <c r="O579" s="167">
        <f t="shared" si="121"/>
        <v>477.00977127172916</v>
      </c>
      <c r="P579" s="167">
        <f>O579*M579/1000</f>
        <v>150.2628480483074</v>
      </c>
      <c r="R579" s="10"/>
      <c r="S579" s="10"/>
    </row>
    <row r="580" spans="1:19" s="9" customFormat="1" ht="12.75" customHeight="1">
      <c r="A580" s="180"/>
      <c r="B580" s="82" t="s">
        <v>646</v>
      </c>
      <c r="C580" s="97">
        <v>24</v>
      </c>
      <c r="D580" s="97" t="s">
        <v>31</v>
      </c>
      <c r="E580" s="83">
        <f>SUM(F580:H580)</f>
        <v>10.6</v>
      </c>
      <c r="F580" s="83">
        <v>1.4</v>
      </c>
      <c r="G580" s="83">
        <v>0.2</v>
      </c>
      <c r="H580" s="83">
        <v>9</v>
      </c>
      <c r="I580" s="84">
        <v>1111.86</v>
      </c>
      <c r="J580" s="83">
        <v>7.8</v>
      </c>
      <c r="K580" s="84">
        <v>980.15</v>
      </c>
      <c r="L580" s="157">
        <f t="shared" si="123"/>
        <v>0.007957965617507525</v>
      </c>
      <c r="M580" s="158">
        <v>209.8</v>
      </c>
      <c r="N580" s="159">
        <f t="shared" si="124"/>
        <v>1.669581186553079</v>
      </c>
      <c r="O580" s="159">
        <f t="shared" si="121"/>
        <v>477.4779370504515</v>
      </c>
      <c r="P580" s="159">
        <f>O580*M580/1000</f>
        <v>100.17487119318471</v>
      </c>
      <c r="R580" s="10"/>
      <c r="S580" s="10"/>
    </row>
    <row r="581" spans="1:19" s="9" customFormat="1" ht="12.75" customHeight="1">
      <c r="A581" s="180"/>
      <c r="B581" s="82" t="s">
        <v>552</v>
      </c>
      <c r="C581" s="97">
        <v>20</v>
      </c>
      <c r="D581" s="97" t="s">
        <v>31</v>
      </c>
      <c r="E581" s="83">
        <f>F581+G581+H581</f>
        <v>13.6999</v>
      </c>
      <c r="F581" s="83">
        <v>1.8351</v>
      </c>
      <c r="G581" s="83">
        <v>3.2</v>
      </c>
      <c r="H581" s="83">
        <v>8.6648</v>
      </c>
      <c r="I581" s="84">
        <v>1087.66</v>
      </c>
      <c r="J581" s="83">
        <v>8.6648</v>
      </c>
      <c r="K581" s="84">
        <v>1087.66</v>
      </c>
      <c r="L581" s="85">
        <f t="shared" si="123"/>
        <v>0.007966460107018736</v>
      </c>
      <c r="M581" s="86">
        <v>206.4</v>
      </c>
      <c r="N581" s="86">
        <f t="shared" si="124"/>
        <v>1.6442773660886671</v>
      </c>
      <c r="O581" s="86">
        <f>L581*1000*60</f>
        <v>477.98760642112416</v>
      </c>
      <c r="P581" s="86">
        <f>N581*60</f>
        <v>98.65664196532003</v>
      </c>
      <c r="R581" s="10"/>
      <c r="S581" s="10"/>
    </row>
    <row r="582" spans="1:19" s="9" customFormat="1" ht="12.75">
      <c r="A582" s="180"/>
      <c r="B582" s="82" t="s">
        <v>523</v>
      </c>
      <c r="C582" s="84">
        <v>32</v>
      </c>
      <c r="D582" s="97" t="s">
        <v>31</v>
      </c>
      <c r="E582" s="83">
        <f>F582+G582+H582</f>
        <v>14.897226</v>
      </c>
      <c r="F582" s="83">
        <v>3.111</v>
      </c>
      <c r="G582" s="83">
        <v>0.47</v>
      </c>
      <c r="H582" s="83">
        <v>11.316226</v>
      </c>
      <c r="I582" s="84">
        <v>1420.48</v>
      </c>
      <c r="J582" s="83">
        <v>11.316228</v>
      </c>
      <c r="K582" s="84">
        <v>1420.48</v>
      </c>
      <c r="L582" s="85">
        <f t="shared" si="123"/>
        <v>0.007966481752646993</v>
      </c>
      <c r="M582" s="86">
        <v>221.4</v>
      </c>
      <c r="N582" s="86">
        <f t="shared" si="124"/>
        <v>1.7637790600360441</v>
      </c>
      <c r="O582" s="86">
        <f>L582*60*1000</f>
        <v>477.98890515881953</v>
      </c>
      <c r="P582" s="86">
        <f>O582*M582/1000</f>
        <v>105.82674360216265</v>
      </c>
      <c r="R582" s="10"/>
      <c r="S582" s="10"/>
    </row>
    <row r="583" spans="1:19" s="9" customFormat="1" ht="12.75">
      <c r="A583" s="180"/>
      <c r="B583" s="118" t="s">
        <v>372</v>
      </c>
      <c r="C583" s="160">
        <v>21</v>
      </c>
      <c r="D583" s="160">
        <v>1996</v>
      </c>
      <c r="E583" s="168">
        <f>F583+G583+H583</f>
        <v>15.690000000000001</v>
      </c>
      <c r="F583" s="168">
        <v>2.29</v>
      </c>
      <c r="G583" s="168">
        <v>3.01</v>
      </c>
      <c r="H583" s="168">
        <v>10.39</v>
      </c>
      <c r="I583" s="169">
        <v>1743.47</v>
      </c>
      <c r="J583" s="168">
        <v>10.39</v>
      </c>
      <c r="K583" s="169">
        <v>1298.64</v>
      </c>
      <c r="L583" s="157">
        <f t="shared" si="123"/>
        <v>0.00800067763198423</v>
      </c>
      <c r="M583" s="158">
        <v>320.7</v>
      </c>
      <c r="N583" s="159">
        <f t="shared" si="124"/>
        <v>2.5658173165773426</v>
      </c>
      <c r="O583" s="159">
        <f>L583*60*1000</f>
        <v>480.04065791905384</v>
      </c>
      <c r="P583" s="159">
        <f>O583*M583/1000</f>
        <v>153.94903899464055</v>
      </c>
      <c r="R583" s="10"/>
      <c r="S583" s="10"/>
    </row>
    <row r="584" spans="1:16" s="9" customFormat="1" ht="13.5" customHeight="1">
      <c r="A584" s="180"/>
      <c r="B584" s="95" t="s">
        <v>172</v>
      </c>
      <c r="C584" s="96">
        <v>31</v>
      </c>
      <c r="D584" s="97" t="s">
        <v>31</v>
      </c>
      <c r="E584" s="98">
        <v>12.68</v>
      </c>
      <c r="F584" s="98">
        <v>2.75</v>
      </c>
      <c r="G584" s="98">
        <v>0.31</v>
      </c>
      <c r="H584" s="98">
        <v>9.62</v>
      </c>
      <c r="I584" s="96">
        <v>1196.73</v>
      </c>
      <c r="J584" s="98">
        <v>9.62</v>
      </c>
      <c r="K584" s="96">
        <v>1196.73</v>
      </c>
      <c r="L584" s="85">
        <f t="shared" si="123"/>
        <v>0.008038571774752867</v>
      </c>
      <c r="M584" s="86">
        <v>256</v>
      </c>
      <c r="N584" s="86">
        <f t="shared" si="124"/>
        <v>2.057874374336734</v>
      </c>
      <c r="O584" s="86">
        <f>L584*60*1000</f>
        <v>482.31430648517204</v>
      </c>
      <c r="P584" s="86">
        <f>O584*M584/1000</f>
        <v>123.47246246020404</v>
      </c>
    </row>
    <row r="585" spans="1:23" s="9" customFormat="1" ht="12.75" customHeight="1">
      <c r="A585" s="180"/>
      <c r="B585" s="82" t="s">
        <v>862</v>
      </c>
      <c r="C585" s="97">
        <v>8</v>
      </c>
      <c r="D585" s="97" t="s">
        <v>31</v>
      </c>
      <c r="E585" s="83">
        <v>4.69</v>
      </c>
      <c r="F585" s="83">
        <f>10*0.051</f>
        <v>0.51</v>
      </c>
      <c r="G585" s="83">
        <f>8*0.01</f>
        <v>0.08</v>
      </c>
      <c r="H585" s="83">
        <f>+E585-F585-G585</f>
        <v>4.1000000000000005</v>
      </c>
      <c r="I585" s="126"/>
      <c r="J585" s="83">
        <f>+H585</f>
        <v>4.1000000000000005</v>
      </c>
      <c r="K585" s="84">
        <v>509.62</v>
      </c>
      <c r="L585" s="85">
        <f t="shared" si="123"/>
        <v>0.008045210156587263</v>
      </c>
      <c r="M585" s="86">
        <v>347.8</v>
      </c>
      <c r="N585" s="86">
        <f t="shared" si="124"/>
        <v>2.79812409246105</v>
      </c>
      <c r="O585" s="86">
        <f>L585*60*1000</f>
        <v>482.71260939523575</v>
      </c>
      <c r="P585" s="86">
        <f>O585*M585/1000</f>
        <v>167.887445547663</v>
      </c>
      <c r="Q585" s="10"/>
      <c r="R585" s="10"/>
      <c r="S585" s="10"/>
      <c r="T585" s="12"/>
      <c r="U585" s="13"/>
      <c r="V585" s="13"/>
      <c r="W585" s="14"/>
    </row>
    <row r="586" spans="1:19" s="9" customFormat="1" ht="12.75" customHeight="1">
      <c r="A586" s="180"/>
      <c r="B586" s="118" t="s">
        <v>475</v>
      </c>
      <c r="C586" s="160">
        <v>37</v>
      </c>
      <c r="D586" s="160">
        <v>1981</v>
      </c>
      <c r="E586" s="168">
        <v>19.424</v>
      </c>
      <c r="F586" s="168">
        <v>3.211725</v>
      </c>
      <c r="G586" s="168">
        <v>3.64</v>
      </c>
      <c r="H586" s="168">
        <v>12.572275</v>
      </c>
      <c r="I586" s="169">
        <v>1561.94</v>
      </c>
      <c r="J586" s="168">
        <v>12.57</v>
      </c>
      <c r="K586" s="169">
        <v>1561.94</v>
      </c>
      <c r="L586" s="157">
        <f t="shared" si="123"/>
        <v>0.008047684290049553</v>
      </c>
      <c r="M586" s="158">
        <v>329.943</v>
      </c>
      <c r="N586" s="159">
        <f t="shared" si="124"/>
        <v>2.6552770977118194</v>
      </c>
      <c r="O586" s="159">
        <f>L586*60*1000</f>
        <v>482.8610574029732</v>
      </c>
      <c r="P586" s="159">
        <f>O586*M586/1000</f>
        <v>159.3166258627092</v>
      </c>
      <c r="R586" s="10"/>
      <c r="S586" s="10"/>
    </row>
    <row r="587" spans="1:19" s="9" customFormat="1" ht="12.75">
      <c r="A587" s="180"/>
      <c r="B587" s="113" t="s">
        <v>252</v>
      </c>
      <c r="C587" s="114">
        <v>19</v>
      </c>
      <c r="D587" s="97">
        <v>1987</v>
      </c>
      <c r="E587" s="83">
        <f>+F587+G587+H587</f>
        <v>12.587655999999999</v>
      </c>
      <c r="F587" s="115">
        <v>1.2291</v>
      </c>
      <c r="G587" s="115">
        <v>3.04</v>
      </c>
      <c r="H587" s="115">
        <v>8.318556</v>
      </c>
      <c r="I587" s="116">
        <v>1100.8</v>
      </c>
      <c r="J587" s="115">
        <v>8.318556</v>
      </c>
      <c r="K587" s="116">
        <v>1030.98</v>
      </c>
      <c r="L587" s="85">
        <f>+J587/K587</f>
        <v>0.008068591049292905</v>
      </c>
      <c r="M587" s="86">
        <v>312.83</v>
      </c>
      <c r="N587" s="86">
        <f>+L587*M587</f>
        <v>2.524097337950299</v>
      </c>
      <c r="O587" s="86">
        <f>+L587*60*1000</f>
        <v>484.11546295757427</v>
      </c>
      <c r="P587" s="86">
        <f>+N587*60</f>
        <v>151.44584027701794</v>
      </c>
      <c r="R587" s="10"/>
      <c r="S587" s="10"/>
    </row>
    <row r="588" spans="1:19" s="9" customFormat="1" ht="12.75">
      <c r="A588" s="180"/>
      <c r="B588" s="118" t="s">
        <v>311</v>
      </c>
      <c r="C588" s="160">
        <v>12</v>
      </c>
      <c r="D588" s="160">
        <v>1971</v>
      </c>
      <c r="E588" s="168">
        <v>4.352999</v>
      </c>
      <c r="F588" s="168">
        <v>0</v>
      </c>
      <c r="G588" s="168">
        <v>0</v>
      </c>
      <c r="H588" s="168">
        <v>4.352999</v>
      </c>
      <c r="I588" s="169">
        <v>538.8</v>
      </c>
      <c r="J588" s="168">
        <v>4.352999</v>
      </c>
      <c r="K588" s="169">
        <v>538.8</v>
      </c>
      <c r="L588" s="170">
        <v>0.008079</v>
      </c>
      <c r="M588" s="158">
        <v>281.7</v>
      </c>
      <c r="N588" s="159">
        <f>L588*M588*1.09</f>
        <v>2.480681187</v>
      </c>
      <c r="O588" s="159">
        <f aca="true" t="shared" si="125" ref="O588:O595">L588*60*1000</f>
        <v>484.73999999999995</v>
      </c>
      <c r="P588" s="159">
        <f>M588*O588/1000</f>
        <v>136.55125799999996</v>
      </c>
      <c r="Q588" s="11"/>
      <c r="R588" s="10"/>
      <c r="S588" s="10"/>
    </row>
    <row r="589" spans="1:19" s="9" customFormat="1" ht="11.25" customHeight="1">
      <c r="A589" s="180"/>
      <c r="B589" s="95" t="s">
        <v>173</v>
      </c>
      <c r="C589" s="96">
        <v>106</v>
      </c>
      <c r="D589" s="97" t="s">
        <v>31</v>
      </c>
      <c r="E589" s="98">
        <v>43.54</v>
      </c>
      <c r="F589" s="98">
        <v>5.32</v>
      </c>
      <c r="G589" s="98">
        <v>16.96</v>
      </c>
      <c r="H589" s="98">
        <v>21.26</v>
      </c>
      <c r="I589" s="96" t="s">
        <v>154</v>
      </c>
      <c r="J589" s="98">
        <v>20.94</v>
      </c>
      <c r="K589" s="96">
        <v>2590.66</v>
      </c>
      <c r="L589" s="85">
        <f aca="true" t="shared" si="126" ref="L589:L598">J589/K589</f>
        <v>0.008082882354303537</v>
      </c>
      <c r="M589" s="86">
        <v>256</v>
      </c>
      <c r="N589" s="86">
        <f aca="true" t="shared" si="127" ref="N589:N598">L589*M589</f>
        <v>2.0692178827017056</v>
      </c>
      <c r="O589" s="86">
        <f t="shared" si="125"/>
        <v>484.97294125821224</v>
      </c>
      <c r="P589" s="86">
        <f>O589*M589/1000</f>
        <v>124.15307296210233</v>
      </c>
      <c r="R589" s="10"/>
      <c r="S589" s="10"/>
    </row>
    <row r="590" spans="1:19" s="9" customFormat="1" ht="12.75" customHeight="1">
      <c r="A590" s="180"/>
      <c r="B590" s="118" t="s">
        <v>373</v>
      </c>
      <c r="C590" s="160">
        <v>5</v>
      </c>
      <c r="D590" s="160">
        <v>1920</v>
      </c>
      <c r="E590" s="168">
        <f>F590+G590+H590</f>
        <v>2.8600000000000003</v>
      </c>
      <c r="F590" s="168">
        <v>0.21</v>
      </c>
      <c r="G590" s="168">
        <v>0.8</v>
      </c>
      <c r="H590" s="168">
        <v>1.85</v>
      </c>
      <c r="I590" s="169">
        <v>453.88</v>
      </c>
      <c r="J590" s="168">
        <v>1.85</v>
      </c>
      <c r="K590" s="169">
        <v>228.72</v>
      </c>
      <c r="L590" s="157">
        <f t="shared" si="126"/>
        <v>0.008088492479888073</v>
      </c>
      <c r="M590" s="158">
        <v>320.7</v>
      </c>
      <c r="N590" s="159">
        <f t="shared" si="127"/>
        <v>2.593979538300105</v>
      </c>
      <c r="O590" s="159">
        <f t="shared" si="125"/>
        <v>485.30954879328436</v>
      </c>
      <c r="P590" s="159">
        <f>O590*M590/1000</f>
        <v>155.63877229800627</v>
      </c>
      <c r="R590" s="10"/>
      <c r="S590" s="10"/>
    </row>
    <row r="591" spans="1:19" s="9" customFormat="1" ht="12.75" customHeight="1">
      <c r="A591" s="180"/>
      <c r="B591" s="82" t="s">
        <v>333</v>
      </c>
      <c r="C591" s="97">
        <v>36</v>
      </c>
      <c r="D591" s="97">
        <v>1972</v>
      </c>
      <c r="E591" s="83">
        <v>20.548</v>
      </c>
      <c r="F591" s="83">
        <v>2.583507</v>
      </c>
      <c r="G591" s="83">
        <v>5.69034</v>
      </c>
      <c r="H591" s="83">
        <v>12.274153</v>
      </c>
      <c r="I591" s="84">
        <v>1516.82</v>
      </c>
      <c r="J591" s="83">
        <v>11.826664</v>
      </c>
      <c r="K591" s="84">
        <v>1461.52</v>
      </c>
      <c r="L591" s="85">
        <f t="shared" si="126"/>
        <v>0.008092030215118506</v>
      </c>
      <c r="M591" s="86">
        <v>247.6</v>
      </c>
      <c r="N591" s="86">
        <f t="shared" si="127"/>
        <v>2.003586681263342</v>
      </c>
      <c r="O591" s="86">
        <f t="shared" si="125"/>
        <v>485.52181290711036</v>
      </c>
      <c r="P591" s="86">
        <f>O591*M591/1000</f>
        <v>120.21520087580052</v>
      </c>
      <c r="R591" s="10"/>
      <c r="S591" s="10"/>
    </row>
    <row r="592" spans="1:19" s="9" customFormat="1" ht="12.75" customHeight="1">
      <c r="A592" s="180"/>
      <c r="B592" s="82" t="s">
        <v>105</v>
      </c>
      <c r="C592" s="97">
        <v>55</v>
      </c>
      <c r="D592" s="97">
        <v>1977</v>
      </c>
      <c r="E592" s="83">
        <v>31.5</v>
      </c>
      <c r="F592" s="83">
        <v>4.91</v>
      </c>
      <c r="G592" s="83">
        <v>8.56</v>
      </c>
      <c r="H592" s="83">
        <f>E592-F592-G592</f>
        <v>18.03</v>
      </c>
      <c r="I592" s="84">
        <v>2217.3</v>
      </c>
      <c r="J592" s="83">
        <f>H592/I592*K592</f>
        <v>18.03</v>
      </c>
      <c r="K592" s="84">
        <v>2217.3</v>
      </c>
      <c r="L592" s="85">
        <f t="shared" si="126"/>
        <v>0.008131511297524015</v>
      </c>
      <c r="M592" s="86">
        <v>332.56</v>
      </c>
      <c r="N592" s="86">
        <f t="shared" si="127"/>
        <v>2.7042153971045866</v>
      </c>
      <c r="O592" s="86">
        <f t="shared" si="125"/>
        <v>487.8906778514409</v>
      </c>
      <c r="P592" s="86">
        <f>O592*M592/1000</f>
        <v>162.25292382627518</v>
      </c>
      <c r="R592" s="10"/>
      <c r="S592" s="10"/>
    </row>
    <row r="593" spans="1:19" s="9" customFormat="1" ht="12.75" customHeight="1">
      <c r="A593" s="180"/>
      <c r="B593" s="82" t="s">
        <v>63</v>
      </c>
      <c r="C593" s="97">
        <v>108</v>
      </c>
      <c r="D593" s="97" t="s">
        <v>31</v>
      </c>
      <c r="E593" s="83">
        <v>48.046</v>
      </c>
      <c r="F593" s="83">
        <v>9.639538</v>
      </c>
      <c r="G593" s="83">
        <v>17.283099</v>
      </c>
      <c r="H593" s="83">
        <v>21.02962</v>
      </c>
      <c r="I593" s="84">
        <v>2584.79</v>
      </c>
      <c r="J593" s="83">
        <f>H593</f>
        <v>21.02962</v>
      </c>
      <c r="K593" s="84">
        <v>2584.79</v>
      </c>
      <c r="L593" s="85">
        <f t="shared" si="126"/>
        <v>0.00813591046081113</v>
      </c>
      <c r="M593" s="86">
        <v>307.38</v>
      </c>
      <c r="N593" s="86">
        <f t="shared" si="127"/>
        <v>2.500816157444125</v>
      </c>
      <c r="O593" s="86">
        <f t="shared" si="125"/>
        <v>488.15462764866777</v>
      </c>
      <c r="P593" s="86">
        <f>N593*60</f>
        <v>150.0489694466475</v>
      </c>
      <c r="R593" s="10"/>
      <c r="S593" s="10"/>
    </row>
    <row r="594" spans="1:19" s="9" customFormat="1" ht="12.75" customHeight="1">
      <c r="A594" s="180"/>
      <c r="B594" s="124" t="s">
        <v>414</v>
      </c>
      <c r="C594" s="161">
        <v>11</v>
      </c>
      <c r="D594" s="162">
        <v>1976</v>
      </c>
      <c r="E594" s="163">
        <f>F594+G594+H594</f>
        <v>4.039321</v>
      </c>
      <c r="F594" s="164">
        <v>0</v>
      </c>
      <c r="G594" s="164">
        <v>0</v>
      </c>
      <c r="H594" s="164">
        <v>4.039321</v>
      </c>
      <c r="I594" s="165">
        <v>543.66</v>
      </c>
      <c r="J594" s="164">
        <v>4.039321</v>
      </c>
      <c r="K594" s="165">
        <v>496.05</v>
      </c>
      <c r="L594" s="166">
        <f t="shared" si="126"/>
        <v>0.008142971474649733</v>
      </c>
      <c r="M594" s="167">
        <v>315.01</v>
      </c>
      <c r="N594" s="167">
        <f t="shared" si="127"/>
        <v>2.5651174442294122</v>
      </c>
      <c r="O594" s="167">
        <f t="shared" si="125"/>
        <v>488.578288478984</v>
      </c>
      <c r="P594" s="167">
        <f>O594*M594/1000</f>
        <v>153.90704665376475</v>
      </c>
      <c r="R594" s="10"/>
      <c r="S594" s="10"/>
    </row>
    <row r="595" spans="1:19" s="9" customFormat="1" ht="12.75">
      <c r="A595" s="180"/>
      <c r="B595" s="82" t="s">
        <v>647</v>
      </c>
      <c r="C595" s="97">
        <v>31</v>
      </c>
      <c r="D595" s="97" t="s">
        <v>31</v>
      </c>
      <c r="E595" s="83">
        <f>SUM(F595:H595)</f>
        <v>16.6</v>
      </c>
      <c r="F595" s="83">
        <v>2.3</v>
      </c>
      <c r="G595" s="83">
        <v>2.5</v>
      </c>
      <c r="H595" s="83">
        <v>11.8</v>
      </c>
      <c r="I595" s="84">
        <v>1226.64</v>
      </c>
      <c r="J595" s="83">
        <v>9.8</v>
      </c>
      <c r="K595" s="84">
        <v>1202.59</v>
      </c>
      <c r="L595" s="157">
        <f t="shared" si="126"/>
        <v>0.008149078239466485</v>
      </c>
      <c r="M595" s="158">
        <v>209.8</v>
      </c>
      <c r="N595" s="159">
        <f t="shared" si="127"/>
        <v>1.7096766146400688</v>
      </c>
      <c r="O595" s="159">
        <f t="shared" si="125"/>
        <v>488.94469436798914</v>
      </c>
      <c r="P595" s="159">
        <f>O595*M595/1000</f>
        <v>102.58059687840414</v>
      </c>
      <c r="R595" s="10"/>
      <c r="S595" s="10"/>
    </row>
    <row r="596" spans="1:19" s="9" customFormat="1" ht="12.75">
      <c r="A596" s="180"/>
      <c r="B596" s="82" t="s">
        <v>553</v>
      </c>
      <c r="C596" s="97">
        <v>20</v>
      </c>
      <c r="D596" s="97" t="s">
        <v>31</v>
      </c>
      <c r="E596" s="83">
        <f>F596+G596+H596</f>
        <v>13.9261</v>
      </c>
      <c r="F596" s="83">
        <v>2.246</v>
      </c>
      <c r="G596" s="83">
        <v>3.2</v>
      </c>
      <c r="H596" s="83">
        <v>8.4801</v>
      </c>
      <c r="I596" s="84">
        <v>1040.33</v>
      </c>
      <c r="J596" s="83">
        <v>8.4801</v>
      </c>
      <c r="K596" s="84">
        <v>1040.33</v>
      </c>
      <c r="L596" s="85">
        <f t="shared" si="126"/>
        <v>0.008151355819787952</v>
      </c>
      <c r="M596" s="86">
        <v>206.4</v>
      </c>
      <c r="N596" s="86">
        <f t="shared" si="127"/>
        <v>1.6824398412042334</v>
      </c>
      <c r="O596" s="86">
        <f>L596*1000*60</f>
        <v>489.0813491872771</v>
      </c>
      <c r="P596" s="86">
        <f>N596*60</f>
        <v>100.94639047225401</v>
      </c>
      <c r="R596" s="10"/>
      <c r="S596" s="10"/>
    </row>
    <row r="597" spans="1:19" s="9" customFormat="1" ht="12.75" customHeight="1">
      <c r="A597" s="180"/>
      <c r="B597" s="82" t="s">
        <v>588</v>
      </c>
      <c r="C597" s="97">
        <v>85</v>
      </c>
      <c r="D597" s="97">
        <v>1970</v>
      </c>
      <c r="E597" s="83">
        <v>50.8</v>
      </c>
      <c r="F597" s="83">
        <v>6.2926</v>
      </c>
      <c r="G597" s="83">
        <v>13.6</v>
      </c>
      <c r="H597" s="83">
        <f>E597-F597-G597</f>
        <v>30.907399999999996</v>
      </c>
      <c r="I597" s="84">
        <v>3789.83</v>
      </c>
      <c r="J597" s="83">
        <v>30.9074</v>
      </c>
      <c r="K597" s="84">
        <v>3789.83</v>
      </c>
      <c r="L597" s="85">
        <f t="shared" si="126"/>
        <v>0.008155352614761083</v>
      </c>
      <c r="M597" s="86">
        <v>243.179</v>
      </c>
      <c r="N597" s="86">
        <f t="shared" si="127"/>
        <v>1.9832104935049855</v>
      </c>
      <c r="O597" s="86">
        <f>L597*1000*60</f>
        <v>489.321156885665</v>
      </c>
      <c r="P597" s="86">
        <f>N597*60</f>
        <v>118.99262961029913</v>
      </c>
      <c r="R597" s="10"/>
      <c r="S597" s="10"/>
    </row>
    <row r="598" spans="1:19" s="9" customFormat="1" ht="12.75">
      <c r="A598" s="180"/>
      <c r="B598" s="82" t="s">
        <v>554</v>
      </c>
      <c r="C598" s="97">
        <v>9</v>
      </c>
      <c r="D598" s="97" t="s">
        <v>31</v>
      </c>
      <c r="E598" s="83">
        <f>F598+G598+H598</f>
        <v>8.269</v>
      </c>
      <c r="F598" s="83">
        <v>1.6524</v>
      </c>
      <c r="G598" s="83">
        <v>1.44</v>
      </c>
      <c r="H598" s="83">
        <v>5.1766</v>
      </c>
      <c r="I598" s="84">
        <v>634.43</v>
      </c>
      <c r="J598" s="83">
        <v>5.1766</v>
      </c>
      <c r="K598" s="84">
        <v>634.43</v>
      </c>
      <c r="L598" s="85">
        <f t="shared" si="126"/>
        <v>0.00815945021515376</v>
      </c>
      <c r="M598" s="86">
        <v>206.4</v>
      </c>
      <c r="N598" s="86">
        <f t="shared" si="127"/>
        <v>1.6841105244077361</v>
      </c>
      <c r="O598" s="86">
        <f>L598*1000*60</f>
        <v>489.5670129092256</v>
      </c>
      <c r="P598" s="86">
        <f>N598*60</f>
        <v>101.04663146446417</v>
      </c>
      <c r="R598" s="10"/>
      <c r="S598" s="10"/>
    </row>
    <row r="599" spans="1:19" s="9" customFormat="1" ht="12.75">
      <c r="A599" s="180"/>
      <c r="B599" s="82" t="s">
        <v>826</v>
      </c>
      <c r="C599" s="97">
        <v>50</v>
      </c>
      <c r="D599" s="97">
        <v>1969</v>
      </c>
      <c r="E599" s="83">
        <f>SUM(F599+G599+H599)</f>
        <v>32.9</v>
      </c>
      <c r="F599" s="83">
        <v>4</v>
      </c>
      <c r="G599" s="83">
        <v>7.9</v>
      </c>
      <c r="H599" s="83">
        <v>21</v>
      </c>
      <c r="I599" s="84">
        <v>2573.06</v>
      </c>
      <c r="J599" s="83">
        <v>21</v>
      </c>
      <c r="K599" s="84">
        <v>2573.1</v>
      </c>
      <c r="L599" s="85">
        <f>SUM(J599/K599)</f>
        <v>0.008161361781508687</v>
      </c>
      <c r="M599" s="86">
        <v>214.3</v>
      </c>
      <c r="N599" s="86">
        <f>SUM(L599*M599)</f>
        <v>1.7489798297773116</v>
      </c>
      <c r="O599" s="86">
        <f>L599*60*1000</f>
        <v>489.6817068905212</v>
      </c>
      <c r="P599" s="86">
        <f>SUM(N599*60)</f>
        <v>104.9387897866387</v>
      </c>
      <c r="R599" s="10"/>
      <c r="S599" s="10"/>
    </row>
    <row r="600" spans="1:19" s="9" customFormat="1" ht="12.75">
      <c r="A600" s="180"/>
      <c r="B600" s="82" t="s">
        <v>555</v>
      </c>
      <c r="C600" s="97">
        <v>6</v>
      </c>
      <c r="D600" s="97" t="s">
        <v>31</v>
      </c>
      <c r="E600" s="83">
        <f>F600+G600+H600</f>
        <v>4.3241</v>
      </c>
      <c r="F600" s="83">
        <v>0.6081</v>
      </c>
      <c r="G600" s="83">
        <v>0.96</v>
      </c>
      <c r="H600" s="83">
        <v>2.756</v>
      </c>
      <c r="I600" s="84">
        <v>337.61</v>
      </c>
      <c r="J600" s="83">
        <v>2.756</v>
      </c>
      <c r="K600" s="84">
        <v>337.61</v>
      </c>
      <c r="L600" s="85">
        <f aca="true" t="shared" si="128" ref="L600:L607">J600/K600</f>
        <v>0.008163265306122448</v>
      </c>
      <c r="M600" s="86">
        <v>206.4</v>
      </c>
      <c r="N600" s="86">
        <f aca="true" t="shared" si="129" ref="N600:N607">L600*M600</f>
        <v>1.6848979591836732</v>
      </c>
      <c r="O600" s="86">
        <f>L600*1000*60</f>
        <v>489.79591836734687</v>
      </c>
      <c r="P600" s="86">
        <f>N600*60</f>
        <v>101.0938775510204</v>
      </c>
      <c r="R600" s="10"/>
      <c r="S600" s="10"/>
    </row>
    <row r="601" spans="1:19" s="9" customFormat="1" ht="12.75">
      <c r="A601" s="180"/>
      <c r="B601" s="82" t="s">
        <v>708</v>
      </c>
      <c r="C601" s="97">
        <v>20</v>
      </c>
      <c r="D601" s="97"/>
      <c r="E601" s="83">
        <v>14.2</v>
      </c>
      <c r="F601" s="83">
        <v>2.29</v>
      </c>
      <c r="G601" s="83">
        <v>3.2</v>
      </c>
      <c r="H601" s="83">
        <v>8.7</v>
      </c>
      <c r="I601" s="126"/>
      <c r="J601" s="83">
        <v>8.7</v>
      </c>
      <c r="K601" s="84">
        <v>1065</v>
      </c>
      <c r="L601" s="85">
        <f t="shared" si="128"/>
        <v>0.00816901408450704</v>
      </c>
      <c r="M601" s="86">
        <v>234.1</v>
      </c>
      <c r="N601" s="86">
        <f t="shared" si="129"/>
        <v>1.912366197183098</v>
      </c>
      <c r="O601" s="86">
        <f>L601*60*1000</f>
        <v>490.1408450704224</v>
      </c>
      <c r="P601" s="86">
        <f>O601*M601/1000</f>
        <v>114.74197183098589</v>
      </c>
      <c r="R601" s="10"/>
      <c r="S601" s="10"/>
    </row>
    <row r="602" spans="1:19" s="9" customFormat="1" ht="12.75">
      <c r="A602" s="180"/>
      <c r="B602" s="82" t="s">
        <v>659</v>
      </c>
      <c r="C602" s="97">
        <v>50</v>
      </c>
      <c r="D602" s="97">
        <v>1969</v>
      </c>
      <c r="E602" s="83">
        <v>21.2</v>
      </c>
      <c r="F602" s="83">
        <v>6.281</v>
      </c>
      <c r="G602" s="83">
        <v>6.85</v>
      </c>
      <c r="H602" s="83">
        <v>8.069</v>
      </c>
      <c r="I602" s="84">
        <v>2594.32</v>
      </c>
      <c r="J602" s="83">
        <v>21.2</v>
      </c>
      <c r="K602" s="84">
        <v>2594.3</v>
      </c>
      <c r="L602" s="85">
        <f t="shared" si="128"/>
        <v>0.00817176116871603</v>
      </c>
      <c r="M602" s="86">
        <v>225</v>
      </c>
      <c r="N602" s="86">
        <f t="shared" si="129"/>
        <v>1.838646262961107</v>
      </c>
      <c r="O602" s="86">
        <f>L602*60*1000</f>
        <v>490.3056701229618</v>
      </c>
      <c r="P602" s="86">
        <f>O602*M602/1000</f>
        <v>110.3187757776664</v>
      </c>
      <c r="Q602" s="11"/>
      <c r="R602" s="10"/>
      <c r="S602" s="10"/>
    </row>
    <row r="603" spans="1:25" s="9" customFormat="1" ht="12.75">
      <c r="A603" s="180"/>
      <c r="B603" s="118" t="s">
        <v>863</v>
      </c>
      <c r="C603" s="160">
        <v>25</v>
      </c>
      <c r="D603" s="160" t="s">
        <v>31</v>
      </c>
      <c r="E603" s="83">
        <v>14.181</v>
      </c>
      <c r="F603" s="83">
        <f>25*0.051</f>
        <v>1.275</v>
      </c>
      <c r="G603" s="83">
        <f>22.75*0.16</f>
        <v>3.64</v>
      </c>
      <c r="H603" s="83">
        <f>+E603-F603-G603</f>
        <v>9.265999999999998</v>
      </c>
      <c r="I603" s="126"/>
      <c r="J603" s="83">
        <f>+H603</f>
        <v>9.265999999999998</v>
      </c>
      <c r="K603" s="84">
        <v>1133.69</v>
      </c>
      <c r="L603" s="85">
        <f t="shared" si="128"/>
        <v>0.00817331016415422</v>
      </c>
      <c r="M603" s="86">
        <v>347.8</v>
      </c>
      <c r="N603" s="86">
        <f t="shared" si="129"/>
        <v>2.8426772750928375</v>
      </c>
      <c r="O603" s="86">
        <f>L603*60*1000</f>
        <v>490.39860984925315</v>
      </c>
      <c r="P603" s="86">
        <f>O603*M603/1000</f>
        <v>170.56063650557027</v>
      </c>
      <c r="Q603" s="10"/>
      <c r="R603" s="10"/>
      <c r="S603" s="10"/>
      <c r="T603" s="12"/>
      <c r="U603" s="13"/>
      <c r="V603" s="13"/>
      <c r="W603" s="14"/>
      <c r="X603" s="14"/>
      <c r="Y603" s="14"/>
    </row>
    <row r="604" spans="1:19" s="9" customFormat="1" ht="12.75" customHeight="1">
      <c r="A604" s="180"/>
      <c r="B604" s="82" t="s">
        <v>556</v>
      </c>
      <c r="C604" s="162">
        <v>18</v>
      </c>
      <c r="D604" s="97" t="s">
        <v>31</v>
      </c>
      <c r="E604" s="83">
        <f>F604+G604+H604</f>
        <v>7.5701</v>
      </c>
      <c r="F604" s="83">
        <v>1.0956</v>
      </c>
      <c r="G604" s="83">
        <v>0</v>
      </c>
      <c r="H604" s="83">
        <v>6.4745</v>
      </c>
      <c r="I604" s="84">
        <v>788.29</v>
      </c>
      <c r="J604" s="83">
        <v>6.4745</v>
      </c>
      <c r="K604" s="84">
        <v>788.29</v>
      </c>
      <c r="L604" s="85">
        <f t="shared" si="128"/>
        <v>0.008213347879587461</v>
      </c>
      <c r="M604" s="86">
        <v>206.4</v>
      </c>
      <c r="N604" s="86">
        <f t="shared" si="129"/>
        <v>1.695235002346852</v>
      </c>
      <c r="O604" s="86">
        <f>L604*1000*60</f>
        <v>492.8008727752477</v>
      </c>
      <c r="P604" s="86">
        <f>N604*60</f>
        <v>101.71410014081113</v>
      </c>
      <c r="R604" s="10"/>
      <c r="S604" s="10"/>
    </row>
    <row r="605" spans="1:19" s="9" customFormat="1" ht="12.75">
      <c r="A605" s="180"/>
      <c r="B605" s="133" t="s">
        <v>811</v>
      </c>
      <c r="C605" s="97">
        <v>12</v>
      </c>
      <c r="D605" s="97">
        <v>1960</v>
      </c>
      <c r="E605" s="83">
        <v>5.8</v>
      </c>
      <c r="F605" s="83">
        <v>1.189</v>
      </c>
      <c r="G605" s="83">
        <v>0.09</v>
      </c>
      <c r="H605" s="83">
        <v>4.52</v>
      </c>
      <c r="I605" s="126" t="s">
        <v>801</v>
      </c>
      <c r="J605" s="83">
        <v>4.52</v>
      </c>
      <c r="K605" s="84">
        <v>550.28</v>
      </c>
      <c r="L605" s="85">
        <f t="shared" si="128"/>
        <v>0.008214000145380533</v>
      </c>
      <c r="M605" s="97">
        <v>354.25</v>
      </c>
      <c r="N605" s="86">
        <f t="shared" si="129"/>
        <v>2.909809551501054</v>
      </c>
      <c r="O605" s="86">
        <f aca="true" t="shared" si="130" ref="O605:O611">L605*60*1000</f>
        <v>492.84000872283195</v>
      </c>
      <c r="P605" s="86">
        <f>O605*M605/1000</f>
        <v>174.58857309006322</v>
      </c>
      <c r="R605" s="10"/>
      <c r="S605" s="10"/>
    </row>
    <row r="606" spans="1:19" s="9" customFormat="1" ht="12.75" customHeight="1">
      <c r="A606" s="180"/>
      <c r="B606" s="118" t="s">
        <v>374</v>
      </c>
      <c r="C606" s="160">
        <v>5</v>
      </c>
      <c r="D606" s="160">
        <v>1923</v>
      </c>
      <c r="E606" s="168">
        <f>F606+G606+H606</f>
        <v>1.72</v>
      </c>
      <c r="F606" s="168">
        <v>0</v>
      </c>
      <c r="G606" s="168">
        <v>0</v>
      </c>
      <c r="H606" s="168">
        <v>1.72</v>
      </c>
      <c r="I606" s="169">
        <v>208.38</v>
      </c>
      <c r="J606" s="168">
        <v>1.72</v>
      </c>
      <c r="K606" s="169">
        <v>208.38</v>
      </c>
      <c r="L606" s="157">
        <f t="shared" si="128"/>
        <v>0.008254151070160283</v>
      </c>
      <c r="M606" s="158">
        <v>320.7</v>
      </c>
      <c r="N606" s="159">
        <f t="shared" si="129"/>
        <v>2.647106248200403</v>
      </c>
      <c r="O606" s="159">
        <f t="shared" si="130"/>
        <v>495.249064209617</v>
      </c>
      <c r="P606" s="159">
        <f>O606*M606/1000</f>
        <v>158.82637489202418</v>
      </c>
      <c r="R606" s="10"/>
      <c r="S606" s="10"/>
    </row>
    <row r="607" spans="1:19" s="9" customFormat="1" ht="12.75">
      <c r="A607" s="180"/>
      <c r="B607" s="82" t="s">
        <v>147</v>
      </c>
      <c r="C607" s="97">
        <v>103</v>
      </c>
      <c r="D607" s="97">
        <v>1995</v>
      </c>
      <c r="E607" s="83">
        <v>57.048</v>
      </c>
      <c r="F607" s="83">
        <v>10.753</v>
      </c>
      <c r="G607" s="83">
        <v>14.42</v>
      </c>
      <c r="H607" s="83">
        <f>E607-F607-G607</f>
        <v>31.875</v>
      </c>
      <c r="I607" s="84">
        <v>3861.68</v>
      </c>
      <c r="J607" s="83">
        <f>H607</f>
        <v>31.875</v>
      </c>
      <c r="K607" s="84">
        <f>I607</f>
        <v>3861.68</v>
      </c>
      <c r="L607" s="85">
        <f t="shared" si="128"/>
        <v>0.008254179528081043</v>
      </c>
      <c r="M607" s="86">
        <v>288.2</v>
      </c>
      <c r="N607" s="86">
        <f t="shared" si="129"/>
        <v>2.3788545399929566</v>
      </c>
      <c r="O607" s="86">
        <f t="shared" si="130"/>
        <v>495.25077168486257</v>
      </c>
      <c r="P607" s="86">
        <f>O607*M607/1000</f>
        <v>142.7312723995774</v>
      </c>
      <c r="R607" s="10"/>
      <c r="S607" s="10"/>
    </row>
    <row r="608" spans="1:19" s="9" customFormat="1" ht="12.75">
      <c r="A608" s="180"/>
      <c r="B608" s="82" t="s">
        <v>827</v>
      </c>
      <c r="C608" s="97">
        <v>20</v>
      </c>
      <c r="D608" s="97">
        <v>1997</v>
      </c>
      <c r="E608" s="83">
        <f>SUM(F608+G608+H608)</f>
        <v>14.600000000000001</v>
      </c>
      <c r="F608" s="83">
        <v>1.6</v>
      </c>
      <c r="G608" s="83">
        <v>3.2</v>
      </c>
      <c r="H608" s="83">
        <v>9.8</v>
      </c>
      <c r="I608" s="84">
        <v>1186.4</v>
      </c>
      <c r="J608" s="83">
        <v>9.8</v>
      </c>
      <c r="K608" s="84">
        <v>1186.4</v>
      </c>
      <c r="L608" s="85">
        <f>SUM(J608/K608)</f>
        <v>0.008260283209710046</v>
      </c>
      <c r="M608" s="86">
        <v>214.3</v>
      </c>
      <c r="N608" s="86">
        <f>SUM(L608*M608)</f>
        <v>1.770178691840863</v>
      </c>
      <c r="O608" s="86">
        <f t="shared" si="130"/>
        <v>495.6169925826028</v>
      </c>
      <c r="P608" s="86">
        <f>SUM(N608*60)</f>
        <v>106.21072151045179</v>
      </c>
      <c r="R608" s="10"/>
      <c r="S608" s="10"/>
    </row>
    <row r="609" spans="1:19" s="9" customFormat="1" ht="12.75">
      <c r="A609" s="180"/>
      <c r="B609" s="82" t="s">
        <v>334</v>
      </c>
      <c r="C609" s="97">
        <v>24</v>
      </c>
      <c r="D609" s="97">
        <v>1969</v>
      </c>
      <c r="E609" s="83">
        <v>13.370998</v>
      </c>
      <c r="F609" s="83">
        <v>1.757511</v>
      </c>
      <c r="G609" s="83">
        <v>3.635495</v>
      </c>
      <c r="H609" s="83">
        <v>7.977992</v>
      </c>
      <c r="I609" s="84">
        <v>1137.96</v>
      </c>
      <c r="J609" s="83">
        <v>7.977992</v>
      </c>
      <c r="K609" s="84">
        <v>964.42</v>
      </c>
      <c r="L609" s="85">
        <f aca="true" t="shared" si="131" ref="L609:L635">J609/K609</f>
        <v>0.00827232118786421</v>
      </c>
      <c r="M609" s="86">
        <v>247.6</v>
      </c>
      <c r="N609" s="86">
        <f aca="true" t="shared" si="132" ref="N609:N635">L609*M609</f>
        <v>2.0482267261151783</v>
      </c>
      <c r="O609" s="86">
        <f t="shared" si="130"/>
        <v>496.33927127185257</v>
      </c>
      <c r="P609" s="86">
        <f>O609*M609/1000</f>
        <v>122.8936035669107</v>
      </c>
      <c r="R609" s="10"/>
      <c r="S609" s="10"/>
    </row>
    <row r="610" spans="1:19" s="9" customFormat="1" ht="12.75">
      <c r="A610" s="180"/>
      <c r="B610" s="118" t="s">
        <v>476</v>
      </c>
      <c r="C610" s="160">
        <v>8</v>
      </c>
      <c r="D610" s="160">
        <v>1940</v>
      </c>
      <c r="E610" s="168">
        <v>2.5813</v>
      </c>
      <c r="F610" s="168" t="s">
        <v>451</v>
      </c>
      <c r="G610" s="168" t="s">
        <v>451</v>
      </c>
      <c r="H610" s="168">
        <v>2.5813</v>
      </c>
      <c r="I610" s="169">
        <v>310.83</v>
      </c>
      <c r="J610" s="168">
        <v>2.58</v>
      </c>
      <c r="K610" s="169">
        <v>310.83</v>
      </c>
      <c r="L610" s="157">
        <f t="shared" si="131"/>
        <v>0.008300357108387222</v>
      </c>
      <c r="M610" s="158">
        <v>329.943</v>
      </c>
      <c r="N610" s="159">
        <f t="shared" si="132"/>
        <v>2.738644725412605</v>
      </c>
      <c r="O610" s="159">
        <f t="shared" si="130"/>
        <v>498.02142650323333</v>
      </c>
      <c r="P610" s="159">
        <f>O610*M610/1000</f>
        <v>164.31868352475632</v>
      </c>
      <c r="R610" s="10"/>
      <c r="S610" s="10"/>
    </row>
    <row r="611" spans="1:19" s="9" customFormat="1" ht="12.75">
      <c r="A611" s="180"/>
      <c r="B611" s="82" t="s">
        <v>648</v>
      </c>
      <c r="C611" s="97">
        <v>44</v>
      </c>
      <c r="D611" s="97" t="s">
        <v>31</v>
      </c>
      <c r="E611" s="83">
        <f>SUM(F611:H611)</f>
        <v>19.2</v>
      </c>
      <c r="F611" s="83">
        <v>2.3</v>
      </c>
      <c r="G611" s="83">
        <v>0.4</v>
      </c>
      <c r="H611" s="83">
        <v>16.5</v>
      </c>
      <c r="I611" s="84">
        <v>1849.35</v>
      </c>
      <c r="J611" s="83">
        <v>14.6</v>
      </c>
      <c r="K611" s="84">
        <v>1758.48</v>
      </c>
      <c r="L611" s="157">
        <f t="shared" si="131"/>
        <v>0.00830262499431327</v>
      </c>
      <c r="M611" s="158">
        <v>209.8</v>
      </c>
      <c r="N611" s="159">
        <f t="shared" si="132"/>
        <v>1.7418907238069241</v>
      </c>
      <c r="O611" s="159">
        <f t="shared" si="130"/>
        <v>498.15749965879627</v>
      </c>
      <c r="P611" s="159">
        <f>O611*M611/1000</f>
        <v>104.51344342841546</v>
      </c>
      <c r="R611" s="10"/>
      <c r="S611" s="10"/>
    </row>
    <row r="612" spans="1:19" s="9" customFormat="1" ht="12.75">
      <c r="A612" s="180"/>
      <c r="B612" s="82" t="s">
        <v>557</v>
      </c>
      <c r="C612" s="97">
        <v>5</v>
      </c>
      <c r="D612" s="97" t="s">
        <v>31</v>
      </c>
      <c r="E612" s="83">
        <f>F612+G612+H612</f>
        <v>2.5909</v>
      </c>
      <c r="F612" s="83">
        <v>0.2743</v>
      </c>
      <c r="G612" s="83">
        <v>0.717</v>
      </c>
      <c r="H612" s="83">
        <v>1.5996</v>
      </c>
      <c r="I612" s="84">
        <v>192.6</v>
      </c>
      <c r="J612" s="83">
        <v>1.5996</v>
      </c>
      <c r="K612" s="84">
        <v>192.6</v>
      </c>
      <c r="L612" s="85">
        <f t="shared" si="131"/>
        <v>0.008305295950155764</v>
      </c>
      <c r="M612" s="86">
        <v>206.4</v>
      </c>
      <c r="N612" s="86">
        <f t="shared" si="132"/>
        <v>1.7142130841121497</v>
      </c>
      <c r="O612" s="86">
        <f>L612*1000*60</f>
        <v>498.31775700934577</v>
      </c>
      <c r="P612" s="86">
        <f>N612*60</f>
        <v>102.85278504672898</v>
      </c>
      <c r="Q612" s="11"/>
      <c r="R612" s="10"/>
      <c r="S612" s="10"/>
    </row>
    <row r="613" spans="1:19" s="9" customFormat="1" ht="12.75" customHeight="1">
      <c r="A613" s="180"/>
      <c r="B613" s="82" t="s">
        <v>558</v>
      </c>
      <c r="C613" s="97">
        <v>20</v>
      </c>
      <c r="D613" s="97" t="s">
        <v>31</v>
      </c>
      <c r="E613" s="83">
        <f>F613+G613+H613</f>
        <v>13.5751</v>
      </c>
      <c r="F613" s="83">
        <v>2.0269</v>
      </c>
      <c r="G613" s="83">
        <v>3.2</v>
      </c>
      <c r="H613" s="83">
        <v>8.3482</v>
      </c>
      <c r="I613" s="84">
        <v>1004.86</v>
      </c>
      <c r="J613" s="83">
        <v>8.3482</v>
      </c>
      <c r="K613" s="84">
        <v>1004.86</v>
      </c>
      <c r="L613" s="85">
        <f t="shared" si="131"/>
        <v>0.008307823975479172</v>
      </c>
      <c r="M613" s="86">
        <v>206.4</v>
      </c>
      <c r="N613" s="86">
        <f t="shared" si="132"/>
        <v>1.7147348685389012</v>
      </c>
      <c r="O613" s="86">
        <f>L613*1000*60</f>
        <v>498.46943852875035</v>
      </c>
      <c r="P613" s="86">
        <f>N613*60</f>
        <v>102.88409211233407</v>
      </c>
      <c r="R613" s="10"/>
      <c r="S613" s="10"/>
    </row>
    <row r="614" spans="1:19" s="9" customFormat="1" ht="12.75" customHeight="1">
      <c r="A614" s="180"/>
      <c r="B614" s="82" t="s">
        <v>559</v>
      </c>
      <c r="C614" s="97">
        <v>4</v>
      </c>
      <c r="D614" s="97" t="s">
        <v>31</v>
      </c>
      <c r="E614" s="83">
        <f>F614+G614+H614</f>
        <v>2.9960000000000004</v>
      </c>
      <c r="F614" s="83">
        <v>0.241</v>
      </c>
      <c r="G614" s="83">
        <v>0.64</v>
      </c>
      <c r="H614" s="83">
        <v>2.115</v>
      </c>
      <c r="I614" s="84">
        <v>254.45</v>
      </c>
      <c r="J614" s="83">
        <v>2.115</v>
      </c>
      <c r="K614" s="84">
        <v>254.45</v>
      </c>
      <c r="L614" s="85">
        <f t="shared" si="131"/>
        <v>0.00831204558852427</v>
      </c>
      <c r="M614" s="86">
        <v>206.4</v>
      </c>
      <c r="N614" s="86">
        <f t="shared" si="132"/>
        <v>1.7156062094714093</v>
      </c>
      <c r="O614" s="86">
        <f>L614*1000*60</f>
        <v>498.72273531145623</v>
      </c>
      <c r="P614" s="86">
        <f>N614*60</f>
        <v>102.93637256828455</v>
      </c>
      <c r="R614" s="10"/>
      <c r="S614" s="10"/>
    </row>
    <row r="615" spans="1:19" s="9" customFormat="1" ht="12.75">
      <c r="A615" s="180"/>
      <c r="B615" s="82" t="s">
        <v>560</v>
      </c>
      <c r="C615" s="97">
        <v>7</v>
      </c>
      <c r="D615" s="97" t="s">
        <v>31</v>
      </c>
      <c r="E615" s="83">
        <f>F615+G615+H615</f>
        <v>4.369</v>
      </c>
      <c r="F615" s="83">
        <v>0.4382</v>
      </c>
      <c r="G615" s="83">
        <v>1.12</v>
      </c>
      <c r="H615" s="83">
        <v>2.8108</v>
      </c>
      <c r="I615" s="84">
        <v>337.32</v>
      </c>
      <c r="J615" s="83">
        <v>2.8108</v>
      </c>
      <c r="K615" s="84">
        <v>337.32</v>
      </c>
      <c r="L615" s="85">
        <f t="shared" si="131"/>
        <v>0.008332740424522709</v>
      </c>
      <c r="M615" s="86">
        <v>206.4</v>
      </c>
      <c r="N615" s="86">
        <f t="shared" si="132"/>
        <v>1.719877623621487</v>
      </c>
      <c r="O615" s="86">
        <f>L615*1000*60</f>
        <v>499.96442547136246</v>
      </c>
      <c r="P615" s="86">
        <f>N615*60</f>
        <v>103.19265741728923</v>
      </c>
      <c r="R615" s="10"/>
      <c r="S615" s="10"/>
    </row>
    <row r="616" spans="1:19" s="9" customFormat="1" ht="12.75">
      <c r="A616" s="180"/>
      <c r="B616" s="82" t="s">
        <v>649</v>
      </c>
      <c r="C616" s="97">
        <v>107</v>
      </c>
      <c r="D616" s="97" t="s">
        <v>31</v>
      </c>
      <c r="E616" s="83">
        <f>SUM(F616:H616)</f>
        <v>43.4</v>
      </c>
      <c r="F616" s="83">
        <v>3.3</v>
      </c>
      <c r="G616" s="83">
        <v>17.4</v>
      </c>
      <c r="H616" s="83">
        <v>22.7</v>
      </c>
      <c r="I616" s="84">
        <v>2639.07</v>
      </c>
      <c r="J616" s="83">
        <v>20.9</v>
      </c>
      <c r="K616" s="84">
        <v>2507.08</v>
      </c>
      <c r="L616" s="157">
        <f t="shared" si="131"/>
        <v>0.008336391339725895</v>
      </c>
      <c r="M616" s="158">
        <v>209.8</v>
      </c>
      <c r="N616" s="159">
        <f t="shared" si="132"/>
        <v>1.748974903074493</v>
      </c>
      <c r="O616" s="159">
        <f aca="true" t="shared" si="133" ref="O616:O621">L616*60*1000</f>
        <v>500.1834803835538</v>
      </c>
      <c r="P616" s="159">
        <f aca="true" t="shared" si="134" ref="P616:P621">O616*M616/1000</f>
        <v>104.93849418446959</v>
      </c>
      <c r="R616" s="10"/>
      <c r="S616" s="10"/>
    </row>
    <row r="617" spans="1:19" s="9" customFormat="1" ht="12.75" customHeight="1">
      <c r="A617" s="180"/>
      <c r="B617" s="82" t="s">
        <v>709</v>
      </c>
      <c r="C617" s="97">
        <v>36</v>
      </c>
      <c r="D617" s="97"/>
      <c r="E617" s="83">
        <v>27.3</v>
      </c>
      <c r="F617" s="83">
        <v>4.18</v>
      </c>
      <c r="G617" s="83">
        <v>5.76</v>
      </c>
      <c r="H617" s="83">
        <v>17.3</v>
      </c>
      <c r="I617" s="126"/>
      <c r="J617" s="83">
        <v>17.3</v>
      </c>
      <c r="K617" s="84">
        <v>2075</v>
      </c>
      <c r="L617" s="85">
        <f t="shared" si="131"/>
        <v>0.008337349397590363</v>
      </c>
      <c r="M617" s="86">
        <v>234.1</v>
      </c>
      <c r="N617" s="86">
        <f t="shared" si="132"/>
        <v>1.9517734939759037</v>
      </c>
      <c r="O617" s="86">
        <f t="shared" si="133"/>
        <v>500.24096385542174</v>
      </c>
      <c r="P617" s="86">
        <f t="shared" si="134"/>
        <v>117.10640963855423</v>
      </c>
      <c r="R617" s="10"/>
      <c r="S617" s="10"/>
    </row>
    <row r="618" spans="1:19" s="9" customFormat="1" ht="12.75" customHeight="1">
      <c r="A618" s="180"/>
      <c r="B618" s="118" t="s">
        <v>375</v>
      </c>
      <c r="C618" s="160">
        <v>8</v>
      </c>
      <c r="D618" s="160">
        <v>1959</v>
      </c>
      <c r="E618" s="168">
        <f>F618+G618+H618</f>
        <v>3.36</v>
      </c>
      <c r="F618" s="168">
        <v>0</v>
      </c>
      <c r="G618" s="168">
        <v>0</v>
      </c>
      <c r="H618" s="168">
        <v>3.36</v>
      </c>
      <c r="I618" s="169">
        <v>441.56</v>
      </c>
      <c r="J618" s="168">
        <v>3.36</v>
      </c>
      <c r="K618" s="169">
        <v>400.91</v>
      </c>
      <c r="L618" s="157">
        <f t="shared" si="131"/>
        <v>0.008380933376568306</v>
      </c>
      <c r="M618" s="158">
        <v>320.7</v>
      </c>
      <c r="N618" s="159">
        <f t="shared" si="132"/>
        <v>2.687765333865456</v>
      </c>
      <c r="O618" s="159">
        <f t="shared" si="133"/>
        <v>502.85600259409836</v>
      </c>
      <c r="P618" s="159">
        <f t="shared" si="134"/>
        <v>161.26592003192735</v>
      </c>
      <c r="Q618" s="11"/>
      <c r="R618" s="10"/>
      <c r="S618" s="10"/>
    </row>
    <row r="619" spans="1:19" s="9" customFormat="1" ht="12.75" customHeight="1">
      <c r="A619" s="180"/>
      <c r="B619" s="133" t="s">
        <v>760</v>
      </c>
      <c r="C619" s="97">
        <v>8</v>
      </c>
      <c r="D619" s="97" t="s">
        <v>31</v>
      </c>
      <c r="E619" s="83">
        <f>F619+G619+H619</f>
        <v>4.474</v>
      </c>
      <c r="F619" s="83">
        <v>0.216</v>
      </c>
      <c r="G619" s="83">
        <v>1.28</v>
      </c>
      <c r="H619" s="83">
        <v>2.978</v>
      </c>
      <c r="I619" s="84">
        <v>354.78</v>
      </c>
      <c r="J619" s="83">
        <v>2.978</v>
      </c>
      <c r="K619" s="84">
        <v>354.78</v>
      </c>
      <c r="L619" s="85">
        <f t="shared" si="131"/>
        <v>0.008393934269124529</v>
      </c>
      <c r="M619" s="97">
        <v>361.99</v>
      </c>
      <c r="N619" s="86">
        <f t="shared" si="132"/>
        <v>3.038520266080388</v>
      </c>
      <c r="O619" s="86">
        <f t="shared" si="133"/>
        <v>503.6360561474718</v>
      </c>
      <c r="P619" s="86">
        <f t="shared" si="134"/>
        <v>182.31121596482333</v>
      </c>
      <c r="R619" s="10"/>
      <c r="S619" s="10"/>
    </row>
    <row r="620" spans="1:19" s="9" customFormat="1" ht="12.75">
      <c r="A620" s="180"/>
      <c r="B620" s="82" t="s">
        <v>812</v>
      </c>
      <c r="C620" s="97">
        <v>9</v>
      </c>
      <c r="D620" s="97">
        <v>1979</v>
      </c>
      <c r="E620" s="83">
        <v>6.4</v>
      </c>
      <c r="F620" s="83">
        <v>0.651</v>
      </c>
      <c r="G620" s="83">
        <v>1.44</v>
      </c>
      <c r="H620" s="83">
        <v>4.308</v>
      </c>
      <c r="I620" s="126" t="s">
        <v>801</v>
      </c>
      <c r="J620" s="83">
        <v>4.308</v>
      </c>
      <c r="K620" s="84">
        <v>513.1</v>
      </c>
      <c r="L620" s="85">
        <f t="shared" si="131"/>
        <v>0.008396024166829077</v>
      </c>
      <c r="M620" s="86">
        <v>354.25</v>
      </c>
      <c r="N620" s="86">
        <f t="shared" si="132"/>
        <v>2.9742915610992005</v>
      </c>
      <c r="O620" s="86">
        <f t="shared" si="133"/>
        <v>503.7614500097446</v>
      </c>
      <c r="P620" s="86">
        <f t="shared" si="134"/>
        <v>178.457493665952</v>
      </c>
      <c r="R620" s="10"/>
      <c r="S620" s="10"/>
    </row>
    <row r="621" spans="1:19" s="9" customFormat="1" ht="12.75">
      <c r="A621" s="180"/>
      <c r="B621" s="82" t="s">
        <v>524</v>
      </c>
      <c r="C621" s="84">
        <v>20</v>
      </c>
      <c r="D621" s="97" t="s">
        <v>31</v>
      </c>
      <c r="E621" s="83">
        <f>F621+G621+H621</f>
        <v>10.959999999999999</v>
      </c>
      <c r="F621" s="83">
        <v>0.204</v>
      </c>
      <c r="G621" s="83">
        <v>1.710969</v>
      </c>
      <c r="H621" s="83">
        <v>9.045031</v>
      </c>
      <c r="I621" s="84">
        <v>1076.74</v>
      </c>
      <c r="J621" s="83">
        <v>9.04503</v>
      </c>
      <c r="K621" s="84">
        <v>1076.74</v>
      </c>
      <c r="L621" s="85">
        <f t="shared" si="131"/>
        <v>0.008400384493935398</v>
      </c>
      <c r="M621" s="86">
        <v>221.4</v>
      </c>
      <c r="N621" s="86">
        <f t="shared" si="132"/>
        <v>1.859845126957297</v>
      </c>
      <c r="O621" s="86">
        <f t="shared" si="133"/>
        <v>504.02306963612386</v>
      </c>
      <c r="P621" s="86">
        <f t="shared" si="134"/>
        <v>111.59070761743783</v>
      </c>
      <c r="R621" s="10"/>
      <c r="S621" s="10"/>
    </row>
    <row r="622" spans="1:19" s="9" customFormat="1" ht="12.75">
      <c r="A622" s="180"/>
      <c r="B622" s="82" t="s">
        <v>561</v>
      </c>
      <c r="C622" s="97">
        <v>5</v>
      </c>
      <c r="D622" s="97" t="s">
        <v>31</v>
      </c>
      <c r="E622" s="83">
        <f>F622+G622+H622</f>
        <v>1.992</v>
      </c>
      <c r="F622" s="83">
        <v>0.1698</v>
      </c>
      <c r="G622" s="83">
        <v>0.48</v>
      </c>
      <c r="H622" s="83">
        <v>1.3422</v>
      </c>
      <c r="I622" s="84">
        <v>159.37</v>
      </c>
      <c r="J622" s="83">
        <v>1.3422</v>
      </c>
      <c r="K622" s="84">
        <v>159.37</v>
      </c>
      <c r="L622" s="85">
        <f t="shared" si="131"/>
        <v>0.008421911275647863</v>
      </c>
      <c r="M622" s="86">
        <v>206.4</v>
      </c>
      <c r="N622" s="86">
        <f t="shared" si="132"/>
        <v>1.738282487293719</v>
      </c>
      <c r="O622" s="86">
        <f>L622*1000*60</f>
        <v>505.3146765388718</v>
      </c>
      <c r="P622" s="86">
        <f>N622*60</f>
        <v>104.29694923762314</v>
      </c>
      <c r="R622" s="10"/>
      <c r="S622" s="10"/>
    </row>
    <row r="623" spans="1:19" s="9" customFormat="1" ht="12.75">
      <c r="A623" s="180"/>
      <c r="B623" s="82" t="s">
        <v>335</v>
      </c>
      <c r="C623" s="97">
        <v>24</v>
      </c>
      <c r="D623" s="97">
        <v>1965</v>
      </c>
      <c r="E623" s="83">
        <v>14.89</v>
      </c>
      <c r="F623" s="83">
        <v>1.683</v>
      </c>
      <c r="G623" s="83">
        <v>3.79356</v>
      </c>
      <c r="H623" s="83">
        <v>9.41344</v>
      </c>
      <c r="I623" s="84">
        <v>1116.83</v>
      </c>
      <c r="J623" s="83">
        <v>8.277333</v>
      </c>
      <c r="K623" s="84">
        <v>982.04</v>
      </c>
      <c r="L623" s="85">
        <f t="shared" si="131"/>
        <v>0.008428712679727914</v>
      </c>
      <c r="M623" s="86">
        <v>247.6</v>
      </c>
      <c r="N623" s="86">
        <f t="shared" si="132"/>
        <v>2.0869492595006314</v>
      </c>
      <c r="O623" s="86">
        <f>L623*60*1000</f>
        <v>505.72276078367486</v>
      </c>
      <c r="P623" s="86">
        <f>O623*M623/1000</f>
        <v>125.2169555700379</v>
      </c>
      <c r="Q623" s="11"/>
      <c r="R623" s="10"/>
      <c r="S623" s="10"/>
    </row>
    <row r="624" spans="1:19" s="9" customFormat="1" ht="12.75">
      <c r="A624" s="180"/>
      <c r="B624" s="82" t="s">
        <v>589</v>
      </c>
      <c r="C624" s="97">
        <v>85</v>
      </c>
      <c r="D624" s="97">
        <v>1970</v>
      </c>
      <c r="E624" s="83">
        <v>53.1</v>
      </c>
      <c r="F624" s="83">
        <v>7.0862</v>
      </c>
      <c r="G624" s="83">
        <v>13.6</v>
      </c>
      <c r="H624" s="83">
        <f>E624-F624-G624</f>
        <v>32.4138</v>
      </c>
      <c r="I624" s="84">
        <v>3839.76</v>
      </c>
      <c r="J624" s="83">
        <v>32.4138</v>
      </c>
      <c r="K624" s="84">
        <v>3839.76</v>
      </c>
      <c r="L624" s="85">
        <f t="shared" si="131"/>
        <v>0.008441621351334458</v>
      </c>
      <c r="M624" s="86">
        <v>243.179</v>
      </c>
      <c r="N624" s="86">
        <f t="shared" si="132"/>
        <v>2.052825038596162</v>
      </c>
      <c r="O624" s="86">
        <f>L624*1000*60</f>
        <v>506.49728108006747</v>
      </c>
      <c r="P624" s="86">
        <f>N624*60</f>
        <v>123.16950231576973</v>
      </c>
      <c r="R624" s="10"/>
      <c r="S624" s="10"/>
    </row>
    <row r="625" spans="1:19" s="9" customFormat="1" ht="12.75">
      <c r="A625" s="180"/>
      <c r="B625" s="118" t="s">
        <v>477</v>
      </c>
      <c r="C625" s="160">
        <v>19</v>
      </c>
      <c r="D625" s="160">
        <v>1972</v>
      </c>
      <c r="E625" s="168">
        <v>6.3705</v>
      </c>
      <c r="F625" s="168" t="s">
        <v>451</v>
      </c>
      <c r="G625" s="168" t="s">
        <v>451</v>
      </c>
      <c r="H625" s="168">
        <v>6.3705</v>
      </c>
      <c r="I625" s="169">
        <v>754.15</v>
      </c>
      <c r="J625" s="168">
        <v>5.79</v>
      </c>
      <c r="K625" s="169">
        <v>684.9</v>
      </c>
      <c r="L625" s="157">
        <f t="shared" si="131"/>
        <v>0.008453788874288217</v>
      </c>
      <c r="M625" s="158">
        <v>329.943</v>
      </c>
      <c r="N625" s="159">
        <f t="shared" si="132"/>
        <v>2.789268462549277</v>
      </c>
      <c r="O625" s="159">
        <f aca="true" t="shared" si="135" ref="O625:O630">L625*60*1000</f>
        <v>507.227332457293</v>
      </c>
      <c r="P625" s="159">
        <f aca="true" t="shared" si="136" ref="P625:P630">O625*M625/1000</f>
        <v>167.35610775295663</v>
      </c>
      <c r="R625" s="10"/>
      <c r="S625" s="10"/>
    </row>
    <row r="626" spans="1:19" s="9" customFormat="1" ht="12.75">
      <c r="A626" s="180"/>
      <c r="B626" s="82" t="s">
        <v>710</v>
      </c>
      <c r="C626" s="97">
        <v>20</v>
      </c>
      <c r="D626" s="97"/>
      <c r="E626" s="83">
        <v>13.7</v>
      </c>
      <c r="F626" s="83">
        <v>1.4</v>
      </c>
      <c r="G626" s="83">
        <v>3.2</v>
      </c>
      <c r="H626" s="83">
        <v>9.1</v>
      </c>
      <c r="I626" s="126"/>
      <c r="J626" s="83">
        <v>9.1</v>
      </c>
      <c r="K626" s="84">
        <v>1074</v>
      </c>
      <c r="L626" s="85">
        <f t="shared" si="131"/>
        <v>0.008472998137802607</v>
      </c>
      <c r="M626" s="86">
        <v>234.1</v>
      </c>
      <c r="N626" s="86">
        <f t="shared" si="132"/>
        <v>1.9835288640595903</v>
      </c>
      <c r="O626" s="86">
        <f t="shared" si="135"/>
        <v>508.3798882681564</v>
      </c>
      <c r="P626" s="86">
        <f t="shared" si="136"/>
        <v>119.0117318435754</v>
      </c>
      <c r="R626" s="10"/>
      <c r="S626" s="10"/>
    </row>
    <row r="627" spans="1:19" s="9" customFormat="1" ht="12.75">
      <c r="A627" s="180"/>
      <c r="B627" s="82" t="s">
        <v>660</v>
      </c>
      <c r="C627" s="97">
        <v>10</v>
      </c>
      <c r="D627" s="97">
        <v>1974</v>
      </c>
      <c r="E627" s="83">
        <v>5.771</v>
      </c>
      <c r="F627" s="83">
        <v>1.63</v>
      </c>
      <c r="G627" s="83">
        <v>1.6</v>
      </c>
      <c r="H627" s="83">
        <v>2.541</v>
      </c>
      <c r="I627" s="84">
        <v>684.27</v>
      </c>
      <c r="J627" s="83">
        <v>5.8</v>
      </c>
      <c r="K627" s="84">
        <v>684.3</v>
      </c>
      <c r="L627" s="85">
        <f t="shared" si="131"/>
        <v>0.008475814701154464</v>
      </c>
      <c r="M627" s="86">
        <v>225</v>
      </c>
      <c r="N627" s="86">
        <f t="shared" si="132"/>
        <v>1.9070583077597545</v>
      </c>
      <c r="O627" s="86">
        <f t="shared" si="135"/>
        <v>508.54888206926785</v>
      </c>
      <c r="P627" s="86">
        <f t="shared" si="136"/>
        <v>114.42349846558525</v>
      </c>
      <c r="Q627" s="11"/>
      <c r="R627" s="10"/>
      <c r="S627" s="10"/>
    </row>
    <row r="628" spans="1:19" s="9" customFormat="1" ht="13.5" customHeight="1">
      <c r="A628" s="180"/>
      <c r="B628" s="82" t="s">
        <v>106</v>
      </c>
      <c r="C628" s="97">
        <v>108</v>
      </c>
      <c r="D628" s="97">
        <v>1968</v>
      </c>
      <c r="E628" s="83">
        <v>46.78</v>
      </c>
      <c r="F628" s="83">
        <v>7.85</v>
      </c>
      <c r="G628" s="83">
        <v>17.2</v>
      </c>
      <c r="H628" s="83">
        <f>E628-F628-G628</f>
        <v>21.73</v>
      </c>
      <c r="I628" s="84">
        <v>2558.4</v>
      </c>
      <c r="J628" s="83">
        <f>H628/I628*K628</f>
        <v>21.73</v>
      </c>
      <c r="K628" s="84">
        <v>2558.4</v>
      </c>
      <c r="L628" s="85">
        <f t="shared" si="131"/>
        <v>0.008493589743589743</v>
      </c>
      <c r="M628" s="86">
        <v>332.56</v>
      </c>
      <c r="N628" s="86">
        <f t="shared" si="132"/>
        <v>2.824628205128205</v>
      </c>
      <c r="O628" s="86">
        <f t="shared" si="135"/>
        <v>509.6153846153846</v>
      </c>
      <c r="P628" s="86">
        <f t="shared" si="136"/>
        <v>169.4776923076923</v>
      </c>
      <c r="R628" s="10"/>
      <c r="S628" s="10"/>
    </row>
    <row r="629" spans="1:19" s="9" customFormat="1" ht="12.75" customHeight="1">
      <c r="A629" s="180"/>
      <c r="B629" s="118" t="s">
        <v>478</v>
      </c>
      <c r="C629" s="160">
        <v>20</v>
      </c>
      <c r="D629" s="160">
        <v>1991</v>
      </c>
      <c r="E629" s="168">
        <v>15.74</v>
      </c>
      <c r="F629" s="168">
        <v>2.25216</v>
      </c>
      <c r="G629" s="168">
        <v>3.36</v>
      </c>
      <c r="H629" s="168">
        <v>10.12784</v>
      </c>
      <c r="I629" s="169">
        <v>1191.82</v>
      </c>
      <c r="J629" s="168">
        <v>9.57</v>
      </c>
      <c r="K629" s="169">
        <v>1126.05</v>
      </c>
      <c r="L629" s="157">
        <f t="shared" si="131"/>
        <v>0.008498734514453177</v>
      </c>
      <c r="M629" s="158">
        <v>329.943</v>
      </c>
      <c r="N629" s="159">
        <f t="shared" si="132"/>
        <v>2.8040979619022246</v>
      </c>
      <c r="O629" s="159">
        <f t="shared" si="135"/>
        <v>509.9240708671906</v>
      </c>
      <c r="P629" s="159">
        <f t="shared" si="136"/>
        <v>168.24587771413348</v>
      </c>
      <c r="R629" s="10"/>
      <c r="S629" s="10"/>
    </row>
    <row r="630" spans="1:19" s="9" customFormat="1" ht="12.75">
      <c r="A630" s="180"/>
      <c r="B630" s="118" t="s">
        <v>271</v>
      </c>
      <c r="C630" s="160">
        <v>12</v>
      </c>
      <c r="D630" s="160">
        <v>1980</v>
      </c>
      <c r="E630" s="83">
        <v>6.073</v>
      </c>
      <c r="F630" s="83">
        <v>0.357</v>
      </c>
      <c r="G630" s="83">
        <v>1.6</v>
      </c>
      <c r="H630" s="83">
        <v>4.116</v>
      </c>
      <c r="I630" s="84">
        <v>587.63</v>
      </c>
      <c r="J630" s="83">
        <v>3.99</v>
      </c>
      <c r="K630" s="84">
        <v>468.68</v>
      </c>
      <c r="L630" s="85">
        <f t="shared" si="131"/>
        <v>0.008513271315183068</v>
      </c>
      <c r="M630" s="86">
        <v>343.459</v>
      </c>
      <c r="N630" s="86">
        <f t="shared" si="132"/>
        <v>2.9239596526414613</v>
      </c>
      <c r="O630" s="86">
        <f t="shared" si="135"/>
        <v>510.79627891098414</v>
      </c>
      <c r="P630" s="86">
        <f t="shared" si="136"/>
        <v>175.4375791584877</v>
      </c>
      <c r="R630" s="10"/>
      <c r="S630" s="10"/>
    </row>
    <row r="631" spans="1:19" s="9" customFormat="1" ht="13.5" thickBot="1">
      <c r="A631" s="245"/>
      <c r="B631" s="239" t="s">
        <v>590</v>
      </c>
      <c r="C631" s="240">
        <v>30</v>
      </c>
      <c r="D631" s="240">
        <v>1992</v>
      </c>
      <c r="E631" s="241">
        <v>20.5</v>
      </c>
      <c r="F631" s="241">
        <v>2.2676</v>
      </c>
      <c r="G631" s="241">
        <v>4.8</v>
      </c>
      <c r="H631" s="241">
        <f>E631-F631-G631</f>
        <v>13.432399999999998</v>
      </c>
      <c r="I631" s="242">
        <v>1576.72</v>
      </c>
      <c r="J631" s="241">
        <v>13.4324</v>
      </c>
      <c r="K631" s="242">
        <v>1576.72</v>
      </c>
      <c r="L631" s="243">
        <f t="shared" si="131"/>
        <v>0.00851920442437465</v>
      </c>
      <c r="M631" s="244">
        <v>243.179</v>
      </c>
      <c r="N631" s="244">
        <f t="shared" si="132"/>
        <v>2.071691612715003</v>
      </c>
      <c r="O631" s="244">
        <f>L631*1000*60</f>
        <v>511.1522654624791</v>
      </c>
      <c r="P631" s="244">
        <f>N631*60</f>
        <v>124.30149676290019</v>
      </c>
      <c r="Q631" s="11"/>
      <c r="R631" s="10"/>
      <c r="S631" s="10"/>
    </row>
    <row r="632" spans="1:19" s="9" customFormat="1" ht="12.75" customHeight="1">
      <c r="A632" s="179" t="s">
        <v>27</v>
      </c>
      <c r="B632" s="231" t="s">
        <v>415</v>
      </c>
      <c r="C632" s="232">
        <v>23</v>
      </c>
      <c r="D632" s="233">
        <v>1988</v>
      </c>
      <c r="E632" s="234">
        <f>F632+G632+H632</f>
        <v>15.611311</v>
      </c>
      <c r="F632" s="235">
        <v>1.989</v>
      </c>
      <c r="G632" s="235">
        <v>3.6</v>
      </c>
      <c r="H632" s="235">
        <v>10.022311</v>
      </c>
      <c r="I632" s="236">
        <v>1213.65</v>
      </c>
      <c r="J632" s="235">
        <v>10.022311</v>
      </c>
      <c r="K632" s="236">
        <v>1176.02</v>
      </c>
      <c r="L632" s="237">
        <f t="shared" si="131"/>
        <v>0.008522228363463207</v>
      </c>
      <c r="M632" s="238">
        <v>315.01</v>
      </c>
      <c r="N632" s="238">
        <f t="shared" si="132"/>
        <v>2.684587156774545</v>
      </c>
      <c r="O632" s="238">
        <f>L632*60*1000</f>
        <v>511.33370180779247</v>
      </c>
      <c r="P632" s="238">
        <f>O632*M632/1000</f>
        <v>161.07522940647272</v>
      </c>
      <c r="Q632" s="11"/>
      <c r="R632" s="10"/>
      <c r="S632" s="10"/>
    </row>
    <row r="633" spans="1:19" s="9" customFormat="1" ht="12.75" customHeight="1">
      <c r="A633" s="179"/>
      <c r="B633" s="87" t="s">
        <v>562</v>
      </c>
      <c r="C633" s="37">
        <v>20</v>
      </c>
      <c r="D633" s="37" t="s">
        <v>31</v>
      </c>
      <c r="E633" s="41">
        <f>F633+G633+H633</f>
        <v>13.859</v>
      </c>
      <c r="F633" s="41">
        <v>1.8077</v>
      </c>
      <c r="G633" s="41">
        <v>3.2</v>
      </c>
      <c r="H633" s="41">
        <v>8.8513</v>
      </c>
      <c r="I633" s="40">
        <v>1036.2</v>
      </c>
      <c r="J633" s="41">
        <v>8.8513</v>
      </c>
      <c r="K633" s="40">
        <v>1036.2</v>
      </c>
      <c r="L633" s="39">
        <f t="shared" si="131"/>
        <v>0.008542076819146883</v>
      </c>
      <c r="M633" s="38">
        <v>206.4</v>
      </c>
      <c r="N633" s="38">
        <f t="shared" si="132"/>
        <v>1.7630846554719168</v>
      </c>
      <c r="O633" s="38">
        <f>L633*1000*60</f>
        <v>512.524609148813</v>
      </c>
      <c r="P633" s="38">
        <f>N633*60</f>
        <v>105.785079328315</v>
      </c>
      <c r="R633" s="10"/>
      <c r="S633" s="10"/>
    </row>
    <row r="634" spans="1:19" s="9" customFormat="1" ht="12.75">
      <c r="A634" s="179"/>
      <c r="B634" s="87" t="s">
        <v>148</v>
      </c>
      <c r="C634" s="37">
        <v>33</v>
      </c>
      <c r="D634" s="37">
        <v>1959</v>
      </c>
      <c r="E634" s="41">
        <v>13.68206</v>
      </c>
      <c r="F634" s="41">
        <v>2.62397</v>
      </c>
      <c r="G634" s="41">
        <v>0.32</v>
      </c>
      <c r="H634" s="41">
        <f>E634-F634-G634</f>
        <v>10.73809</v>
      </c>
      <c r="I634" s="40">
        <v>1257.02</v>
      </c>
      <c r="J634" s="41">
        <f>H634</f>
        <v>10.73809</v>
      </c>
      <c r="K634" s="40">
        <f>I634</f>
        <v>1257.02</v>
      </c>
      <c r="L634" s="39">
        <f t="shared" si="131"/>
        <v>0.008542497334966826</v>
      </c>
      <c r="M634" s="38">
        <v>288.2</v>
      </c>
      <c r="N634" s="38">
        <f t="shared" si="132"/>
        <v>2.4619477319374394</v>
      </c>
      <c r="O634" s="38">
        <f aca="true" t="shared" si="137" ref="O634:O640">L634*60*1000</f>
        <v>512.5498400980097</v>
      </c>
      <c r="P634" s="38">
        <f>O634*M634/1000</f>
        <v>147.71686391624635</v>
      </c>
      <c r="R634" s="10"/>
      <c r="S634" s="10"/>
    </row>
    <row r="635" spans="1:19" s="9" customFormat="1" ht="12.75">
      <c r="A635" s="179"/>
      <c r="B635" s="119" t="s">
        <v>376</v>
      </c>
      <c r="C635" s="64">
        <v>13</v>
      </c>
      <c r="D635" s="64">
        <v>1970</v>
      </c>
      <c r="E635" s="65">
        <f>F635+G635+H635</f>
        <v>6.64</v>
      </c>
      <c r="F635" s="65">
        <v>0</v>
      </c>
      <c r="G635" s="65">
        <v>0</v>
      </c>
      <c r="H635" s="65">
        <v>6.64</v>
      </c>
      <c r="I635" s="175">
        <v>829.09</v>
      </c>
      <c r="J635" s="65">
        <v>6.64</v>
      </c>
      <c r="K635" s="175">
        <v>776.93</v>
      </c>
      <c r="L635" s="176">
        <f t="shared" si="131"/>
        <v>0.008546458496904483</v>
      </c>
      <c r="M635" s="63">
        <v>320.7</v>
      </c>
      <c r="N635" s="177">
        <f t="shared" si="132"/>
        <v>2.7408492399572677</v>
      </c>
      <c r="O635" s="177">
        <f t="shared" si="137"/>
        <v>512.7875098142689</v>
      </c>
      <c r="P635" s="177">
        <f>O635*M635/1000</f>
        <v>164.45095439743602</v>
      </c>
      <c r="R635" s="10"/>
      <c r="S635" s="10"/>
    </row>
    <row r="636" spans="1:19" s="9" customFormat="1" ht="12.75">
      <c r="A636" s="179"/>
      <c r="B636" s="119" t="s">
        <v>312</v>
      </c>
      <c r="C636" s="64">
        <v>13</v>
      </c>
      <c r="D636" s="64">
        <v>1977</v>
      </c>
      <c r="E636" s="65">
        <v>6.730001</v>
      </c>
      <c r="F636" s="65">
        <v>0.051</v>
      </c>
      <c r="G636" s="65">
        <v>1.006447</v>
      </c>
      <c r="H636" s="65">
        <v>5.672554</v>
      </c>
      <c r="I636" s="175">
        <v>663.15</v>
      </c>
      <c r="J636" s="65">
        <v>5.672554</v>
      </c>
      <c r="K636" s="175">
        <v>663.15</v>
      </c>
      <c r="L636" s="138">
        <v>0.008553</v>
      </c>
      <c r="M636" s="63">
        <v>281.7</v>
      </c>
      <c r="N636" s="177">
        <f>L636*M636*1.09</f>
        <v>2.626224309</v>
      </c>
      <c r="O636" s="177">
        <f t="shared" si="137"/>
        <v>513.18</v>
      </c>
      <c r="P636" s="177">
        <f>M636*O636/1000</f>
        <v>144.562806</v>
      </c>
      <c r="Q636" s="11"/>
      <c r="R636" s="10"/>
      <c r="S636" s="10"/>
    </row>
    <row r="637" spans="1:19" s="9" customFormat="1" ht="12.75">
      <c r="A637" s="179"/>
      <c r="B637" s="119" t="s">
        <v>313</v>
      </c>
      <c r="C637" s="64">
        <v>8</v>
      </c>
      <c r="D637" s="64">
        <v>1970</v>
      </c>
      <c r="E637" s="65">
        <v>3.968001</v>
      </c>
      <c r="F637" s="65">
        <v>0.255</v>
      </c>
      <c r="G637" s="65">
        <v>0.96</v>
      </c>
      <c r="H637" s="65">
        <v>2.753001</v>
      </c>
      <c r="I637" s="175">
        <v>321.83</v>
      </c>
      <c r="J637" s="65">
        <v>1.931369</v>
      </c>
      <c r="K637" s="175">
        <v>225.78</v>
      </c>
      <c r="L637" s="138">
        <v>0.008554</v>
      </c>
      <c r="M637" s="63">
        <v>281.7</v>
      </c>
      <c r="N637" s="177">
        <f>L637*M637*1.09</f>
        <v>2.6265313620000006</v>
      </c>
      <c r="O637" s="177">
        <f t="shared" si="137"/>
        <v>513.24</v>
      </c>
      <c r="P637" s="177">
        <f>M637*O637/1000</f>
        <v>144.57970799999998</v>
      </c>
      <c r="R637" s="10"/>
      <c r="S637" s="10"/>
    </row>
    <row r="638" spans="1:19" s="9" customFormat="1" ht="12.75">
      <c r="A638" s="179"/>
      <c r="B638" s="125" t="s">
        <v>416</v>
      </c>
      <c r="C638" s="171">
        <v>6</v>
      </c>
      <c r="D638" s="51">
        <v>1968</v>
      </c>
      <c r="E638" s="172">
        <f>F638+G638+H638</f>
        <v>2.1579990000000002</v>
      </c>
      <c r="F638" s="173">
        <v>0</v>
      </c>
      <c r="G638" s="173">
        <v>0</v>
      </c>
      <c r="H638" s="173">
        <v>2.1579990000000002</v>
      </c>
      <c r="I638" s="174">
        <v>252.14000000000001</v>
      </c>
      <c r="J638" s="173">
        <v>2.1579990000000002</v>
      </c>
      <c r="K638" s="174">
        <v>252.14000000000001</v>
      </c>
      <c r="L638" s="139">
        <f>J638/K638</f>
        <v>0.008558733243436187</v>
      </c>
      <c r="M638" s="52">
        <v>315.01</v>
      </c>
      <c r="N638" s="52">
        <f>L638*M638</f>
        <v>2.6960865590148333</v>
      </c>
      <c r="O638" s="52">
        <f t="shared" si="137"/>
        <v>513.5239946061712</v>
      </c>
      <c r="P638" s="52">
        <f>O638*M638/1000</f>
        <v>161.76519354088998</v>
      </c>
      <c r="R638" s="10"/>
      <c r="S638" s="10"/>
    </row>
    <row r="639" spans="1:19" s="9" customFormat="1" ht="12.75" customHeight="1">
      <c r="A639" s="179"/>
      <c r="B639" s="119" t="s">
        <v>479</v>
      </c>
      <c r="C639" s="64">
        <v>17</v>
      </c>
      <c r="D639" s="64">
        <v>1976</v>
      </c>
      <c r="E639" s="65">
        <v>5.66</v>
      </c>
      <c r="F639" s="65" t="s">
        <v>451</v>
      </c>
      <c r="G639" s="65" t="s">
        <v>451</v>
      </c>
      <c r="H639" s="65">
        <v>5.66</v>
      </c>
      <c r="I639" s="175">
        <v>658.78</v>
      </c>
      <c r="J639" s="65">
        <v>5.66</v>
      </c>
      <c r="K639" s="175">
        <v>658.78</v>
      </c>
      <c r="L639" s="176">
        <f>J639/K639</f>
        <v>0.008591639090439905</v>
      </c>
      <c r="M639" s="63">
        <v>329.943</v>
      </c>
      <c r="N639" s="177">
        <f>L639*M639</f>
        <v>2.8347511764170137</v>
      </c>
      <c r="O639" s="177">
        <f t="shared" si="137"/>
        <v>515.4983454263943</v>
      </c>
      <c r="P639" s="177">
        <f>O639*M639/1000</f>
        <v>170.0850705850208</v>
      </c>
      <c r="R639" s="10"/>
      <c r="S639" s="10"/>
    </row>
    <row r="640" spans="1:19" s="9" customFormat="1" ht="12.75">
      <c r="A640" s="179"/>
      <c r="B640" s="87" t="s">
        <v>107</v>
      </c>
      <c r="C640" s="37">
        <v>77</v>
      </c>
      <c r="D640" s="37">
        <v>1960</v>
      </c>
      <c r="E640" s="41">
        <v>17.48</v>
      </c>
      <c r="F640" s="41">
        <v>5.45</v>
      </c>
      <c r="G640" s="41">
        <v>1.16</v>
      </c>
      <c r="H640" s="41">
        <f>E640-F640-G640</f>
        <v>10.870000000000001</v>
      </c>
      <c r="I640" s="40">
        <v>1264.2</v>
      </c>
      <c r="J640" s="41">
        <f>H640/I640*K640</f>
        <v>10.739305489637717</v>
      </c>
      <c r="K640" s="37">
        <v>1249</v>
      </c>
      <c r="L640" s="39">
        <f>J640/K640</f>
        <v>0.008598323050150293</v>
      </c>
      <c r="M640" s="38">
        <v>332.56</v>
      </c>
      <c r="N640" s="38">
        <f>L640*M640</f>
        <v>2.8594583135579814</v>
      </c>
      <c r="O640" s="38">
        <f t="shared" si="137"/>
        <v>515.8993830090176</v>
      </c>
      <c r="P640" s="38">
        <f>O640*M640/1000</f>
        <v>171.5674988134789</v>
      </c>
      <c r="R640" s="10"/>
      <c r="S640" s="10"/>
    </row>
    <row r="641" spans="1:19" s="9" customFormat="1" ht="12.75">
      <c r="A641" s="179"/>
      <c r="B641" s="87" t="s">
        <v>563</v>
      </c>
      <c r="C641" s="37">
        <v>20</v>
      </c>
      <c r="D641" s="37" t="s">
        <v>31</v>
      </c>
      <c r="E641" s="41">
        <f>F641+G641+H641</f>
        <v>13.9969</v>
      </c>
      <c r="F641" s="41">
        <v>1.5886</v>
      </c>
      <c r="G641" s="41">
        <v>3.2</v>
      </c>
      <c r="H641" s="41">
        <v>9.2083</v>
      </c>
      <c r="I641" s="40">
        <v>1070.75</v>
      </c>
      <c r="J641" s="41">
        <v>9.2083</v>
      </c>
      <c r="K641" s="40">
        <v>1070.75</v>
      </c>
      <c r="L641" s="39">
        <f>J641/K641</f>
        <v>0.008599859911277142</v>
      </c>
      <c r="M641" s="38">
        <v>206.4</v>
      </c>
      <c r="N641" s="38">
        <f>L641*M641</f>
        <v>1.7750110856876022</v>
      </c>
      <c r="O641" s="38">
        <f>L641*1000*60</f>
        <v>515.9915946766284</v>
      </c>
      <c r="P641" s="38">
        <f>N641*60</f>
        <v>106.50066514125614</v>
      </c>
      <c r="R641" s="10"/>
      <c r="S641" s="10"/>
    </row>
    <row r="642" spans="1:19" s="9" customFormat="1" ht="12.75">
      <c r="A642" s="179"/>
      <c r="B642" s="119" t="s">
        <v>377</v>
      </c>
      <c r="C642" s="64">
        <v>25</v>
      </c>
      <c r="D642" s="64">
        <v>1966</v>
      </c>
      <c r="E642" s="65">
        <f>F642+G642+H642</f>
        <v>11.21</v>
      </c>
      <c r="F642" s="65">
        <v>0</v>
      </c>
      <c r="G642" s="65">
        <v>0</v>
      </c>
      <c r="H642" s="65">
        <v>11.21</v>
      </c>
      <c r="I642" s="175">
        <v>1638.98</v>
      </c>
      <c r="J642" s="65">
        <v>11.21</v>
      </c>
      <c r="K642" s="175">
        <v>1303.24</v>
      </c>
      <c r="L642" s="176">
        <f>J642/K642</f>
        <v>0.008601638992050582</v>
      </c>
      <c r="M642" s="63">
        <v>320.7</v>
      </c>
      <c r="N642" s="177">
        <f>L642*M642</f>
        <v>2.7585456247506217</v>
      </c>
      <c r="O642" s="177">
        <f aca="true" t="shared" si="138" ref="O642:O655">L642*60*1000</f>
        <v>516.098339523035</v>
      </c>
      <c r="P642" s="177">
        <f>O642*M642/1000</f>
        <v>165.5127374850373</v>
      </c>
      <c r="R642" s="10"/>
      <c r="S642" s="10"/>
    </row>
    <row r="643" spans="1:19" s="9" customFormat="1" ht="12.75">
      <c r="A643" s="179"/>
      <c r="B643" s="119" t="s">
        <v>314</v>
      </c>
      <c r="C643" s="64">
        <v>12</v>
      </c>
      <c r="D643" s="64">
        <v>1973</v>
      </c>
      <c r="E643" s="65">
        <v>4.403602</v>
      </c>
      <c r="F643" s="65">
        <v>0</v>
      </c>
      <c r="G643" s="65">
        <v>0</v>
      </c>
      <c r="H643" s="65">
        <v>4.403602</v>
      </c>
      <c r="I643" s="175">
        <v>510.06</v>
      </c>
      <c r="J643" s="65">
        <v>4.403602</v>
      </c>
      <c r="K643" s="175">
        <v>510.06</v>
      </c>
      <c r="L643" s="138">
        <v>0.008633</v>
      </c>
      <c r="M643" s="63">
        <v>281.7</v>
      </c>
      <c r="N643" s="177">
        <f>L643*M643*1.09</f>
        <v>2.650788549</v>
      </c>
      <c r="O643" s="177">
        <f t="shared" si="138"/>
        <v>517.98</v>
      </c>
      <c r="P643" s="177">
        <f>M643*O643/1000</f>
        <v>145.914966</v>
      </c>
      <c r="R643" s="10"/>
      <c r="S643" s="10"/>
    </row>
    <row r="644" spans="1:19" s="9" customFormat="1" ht="12.75">
      <c r="A644" s="179"/>
      <c r="B644" s="87" t="s">
        <v>525</v>
      </c>
      <c r="C644" s="40">
        <v>12</v>
      </c>
      <c r="D644" s="37" t="s">
        <v>31</v>
      </c>
      <c r="E644" s="41">
        <f>F644+G644+H644</f>
        <v>10.52</v>
      </c>
      <c r="F644" s="41"/>
      <c r="G644" s="41"/>
      <c r="H644" s="41">
        <v>10.52</v>
      </c>
      <c r="I644" s="40">
        <v>1215.32</v>
      </c>
      <c r="J644" s="41">
        <v>10.52</v>
      </c>
      <c r="K644" s="40">
        <v>1215.32</v>
      </c>
      <c r="L644" s="39">
        <f aca="true" t="shared" si="139" ref="L644:L658">J644/K644</f>
        <v>0.008656156403251819</v>
      </c>
      <c r="M644" s="38">
        <v>221.4</v>
      </c>
      <c r="N644" s="38">
        <f aca="true" t="shared" si="140" ref="N644:N658">L644*M644</f>
        <v>1.9164730276799529</v>
      </c>
      <c r="O644" s="38">
        <f t="shared" si="138"/>
        <v>519.3693841951091</v>
      </c>
      <c r="P644" s="38">
        <f aca="true" t="shared" si="141" ref="P644:P650">O644*M644/1000</f>
        <v>114.98838166079716</v>
      </c>
      <c r="R644" s="10"/>
      <c r="S644" s="10"/>
    </row>
    <row r="645" spans="1:19" s="9" customFormat="1" ht="12.75">
      <c r="A645" s="179"/>
      <c r="B645" s="91" t="s">
        <v>761</v>
      </c>
      <c r="C645" s="37">
        <v>8</v>
      </c>
      <c r="D645" s="37" t="s">
        <v>31</v>
      </c>
      <c r="E645" s="41">
        <f>F645+G645+H645</f>
        <v>4.692</v>
      </c>
      <c r="F645" s="41">
        <v>0.243</v>
      </c>
      <c r="G645" s="41">
        <v>1.28</v>
      </c>
      <c r="H645" s="41">
        <v>3.169</v>
      </c>
      <c r="I645" s="40">
        <v>364.99</v>
      </c>
      <c r="J645" s="41">
        <v>2.745</v>
      </c>
      <c r="K645" s="40">
        <v>316.21</v>
      </c>
      <c r="L645" s="39">
        <f t="shared" si="139"/>
        <v>0.008680939881724171</v>
      </c>
      <c r="M645" s="37">
        <v>361.99</v>
      </c>
      <c r="N645" s="38">
        <f t="shared" si="140"/>
        <v>3.142413427785333</v>
      </c>
      <c r="O645" s="38">
        <f t="shared" si="138"/>
        <v>520.8563929034503</v>
      </c>
      <c r="P645" s="38">
        <f t="shared" si="141"/>
        <v>188.54480566712002</v>
      </c>
      <c r="R645" s="10"/>
      <c r="S645" s="10"/>
    </row>
    <row r="646" spans="1:19" s="9" customFormat="1" ht="12.75">
      <c r="A646" s="179"/>
      <c r="B646" s="119" t="s">
        <v>480</v>
      </c>
      <c r="C646" s="64">
        <v>20</v>
      </c>
      <c r="D646" s="64">
        <v>1971</v>
      </c>
      <c r="E646" s="65">
        <v>9.613</v>
      </c>
      <c r="F646" s="65">
        <v>2.035257</v>
      </c>
      <c r="G646" s="65">
        <v>0.21</v>
      </c>
      <c r="H646" s="65">
        <v>7.367743</v>
      </c>
      <c r="I646" s="175">
        <v>847.51</v>
      </c>
      <c r="J646" s="65">
        <v>6.79</v>
      </c>
      <c r="K646" s="175">
        <v>781.41</v>
      </c>
      <c r="L646" s="176">
        <f t="shared" si="139"/>
        <v>0.008689420406700708</v>
      </c>
      <c r="M646" s="63">
        <v>334.412</v>
      </c>
      <c r="N646" s="177">
        <f t="shared" si="140"/>
        <v>2.905846457045597</v>
      </c>
      <c r="O646" s="177">
        <f t="shared" si="138"/>
        <v>521.3652244020425</v>
      </c>
      <c r="P646" s="177">
        <f t="shared" si="141"/>
        <v>174.35078742273583</v>
      </c>
      <c r="R646" s="10"/>
      <c r="S646" s="10"/>
    </row>
    <row r="647" spans="1:19" s="9" customFormat="1" ht="12.75">
      <c r="A647" s="179"/>
      <c r="B647" s="119" t="s">
        <v>481</v>
      </c>
      <c r="C647" s="64">
        <v>20</v>
      </c>
      <c r="D647" s="64">
        <v>1973</v>
      </c>
      <c r="E647" s="65">
        <v>9.8056</v>
      </c>
      <c r="F647" s="65" t="s">
        <v>451</v>
      </c>
      <c r="G647" s="65" t="s">
        <v>451</v>
      </c>
      <c r="H647" s="65">
        <v>9.8056</v>
      </c>
      <c r="I647" s="175">
        <v>1128.52</v>
      </c>
      <c r="J647" s="65">
        <v>9.81</v>
      </c>
      <c r="K647" s="175">
        <v>1128.52</v>
      </c>
      <c r="L647" s="176">
        <f t="shared" si="139"/>
        <v>0.008692801190940347</v>
      </c>
      <c r="M647" s="63">
        <v>329.943</v>
      </c>
      <c r="N647" s="177">
        <f t="shared" si="140"/>
        <v>2.8681289033424306</v>
      </c>
      <c r="O647" s="177">
        <f t="shared" si="138"/>
        <v>521.5680714564209</v>
      </c>
      <c r="P647" s="177">
        <f t="shared" si="141"/>
        <v>172.08773420054584</v>
      </c>
      <c r="Q647" s="11"/>
      <c r="R647" s="10"/>
      <c r="S647" s="10"/>
    </row>
    <row r="648" spans="1:19" s="9" customFormat="1" ht="12.75">
      <c r="A648" s="179"/>
      <c r="B648" s="87" t="s">
        <v>711</v>
      </c>
      <c r="C648" s="37">
        <v>20</v>
      </c>
      <c r="D648" s="37"/>
      <c r="E648" s="41">
        <v>14.9</v>
      </c>
      <c r="F648" s="41">
        <v>2.48</v>
      </c>
      <c r="G648" s="41">
        <v>3.2</v>
      </c>
      <c r="H648" s="41">
        <v>9.25</v>
      </c>
      <c r="I648" s="47"/>
      <c r="J648" s="41">
        <v>9.3</v>
      </c>
      <c r="K648" s="40">
        <v>1066</v>
      </c>
      <c r="L648" s="39">
        <f t="shared" si="139"/>
        <v>0.008724202626641652</v>
      </c>
      <c r="M648" s="38">
        <v>234.1</v>
      </c>
      <c r="N648" s="38">
        <f t="shared" si="140"/>
        <v>2.042335834896811</v>
      </c>
      <c r="O648" s="38">
        <f t="shared" si="138"/>
        <v>523.4521575984992</v>
      </c>
      <c r="P648" s="38">
        <f t="shared" si="141"/>
        <v>122.54015009380865</v>
      </c>
      <c r="R648" s="10"/>
      <c r="S648" s="10"/>
    </row>
    <row r="649" spans="1:19" s="9" customFormat="1" ht="12.75" customHeight="1">
      <c r="A649" s="179"/>
      <c r="B649" s="87" t="s">
        <v>108</v>
      </c>
      <c r="C649" s="37">
        <v>18</v>
      </c>
      <c r="D649" s="37">
        <v>1959</v>
      </c>
      <c r="E649" s="41">
        <v>9.82</v>
      </c>
      <c r="F649" s="41">
        <v>1.41</v>
      </c>
      <c r="G649" s="41"/>
      <c r="H649" s="41">
        <f>E649-F649-G649</f>
        <v>8.41</v>
      </c>
      <c r="I649" s="40">
        <v>963.8</v>
      </c>
      <c r="J649" s="41">
        <f>H649/I649*K649</f>
        <v>8.41</v>
      </c>
      <c r="K649" s="40">
        <v>963.8</v>
      </c>
      <c r="L649" s="39">
        <f t="shared" si="139"/>
        <v>0.008725876737912431</v>
      </c>
      <c r="M649" s="38">
        <v>332.56</v>
      </c>
      <c r="N649" s="38">
        <f t="shared" si="140"/>
        <v>2.9018775679601583</v>
      </c>
      <c r="O649" s="38">
        <f t="shared" si="138"/>
        <v>523.5526042747459</v>
      </c>
      <c r="P649" s="38">
        <f t="shared" si="141"/>
        <v>174.1126540776095</v>
      </c>
      <c r="R649" s="10"/>
      <c r="S649" s="10"/>
    </row>
    <row r="650" spans="1:19" s="9" customFormat="1" ht="13.5" customHeight="1">
      <c r="A650" s="179"/>
      <c r="B650" s="119" t="s">
        <v>864</v>
      </c>
      <c r="C650" s="37">
        <v>8</v>
      </c>
      <c r="D650" s="37" t="s">
        <v>31</v>
      </c>
      <c r="E650" s="41">
        <v>4.749</v>
      </c>
      <c r="F650" s="41">
        <f>7*0.051</f>
        <v>0.357</v>
      </c>
      <c r="G650" s="41">
        <f>7.5*0.16</f>
        <v>1.2</v>
      </c>
      <c r="H650" s="41">
        <f>+E650-F650-G650</f>
        <v>3.1919999999999993</v>
      </c>
      <c r="I650" s="47"/>
      <c r="J650" s="41">
        <f>+H650</f>
        <v>3.1919999999999993</v>
      </c>
      <c r="K650" s="40">
        <v>365.77</v>
      </c>
      <c r="L650" s="39">
        <f t="shared" si="139"/>
        <v>0.008726795527243895</v>
      </c>
      <c r="M650" s="38">
        <v>347.8</v>
      </c>
      <c r="N650" s="38">
        <f t="shared" si="140"/>
        <v>3.0351794843754267</v>
      </c>
      <c r="O650" s="38">
        <f t="shared" si="138"/>
        <v>523.6077316346338</v>
      </c>
      <c r="P650" s="38">
        <f t="shared" si="141"/>
        <v>182.11076906252563</v>
      </c>
      <c r="Q650" s="11"/>
      <c r="R650" s="10"/>
      <c r="S650" s="10"/>
    </row>
    <row r="651" spans="1:19" s="9" customFormat="1" ht="12.75" customHeight="1">
      <c r="A651" s="179"/>
      <c r="B651" s="87" t="s">
        <v>64</v>
      </c>
      <c r="C651" s="37">
        <v>49</v>
      </c>
      <c r="D651" s="37">
        <v>1986</v>
      </c>
      <c r="E651" s="41">
        <v>37.789</v>
      </c>
      <c r="F651" s="41">
        <v>5.485356</v>
      </c>
      <c r="G651" s="41">
        <v>7.68</v>
      </c>
      <c r="H651" s="41">
        <v>24.623647</v>
      </c>
      <c r="I651" s="40">
        <v>2820.68</v>
      </c>
      <c r="J651" s="41">
        <f>H651</f>
        <v>24.623647</v>
      </c>
      <c r="K651" s="40">
        <v>2820.68</v>
      </c>
      <c r="L651" s="39">
        <f t="shared" si="139"/>
        <v>0.00872968468596225</v>
      </c>
      <c r="M651" s="38">
        <v>307.38</v>
      </c>
      <c r="N651" s="38">
        <f t="shared" si="140"/>
        <v>2.6833304787710763</v>
      </c>
      <c r="O651" s="38">
        <f t="shared" si="138"/>
        <v>523.781081157735</v>
      </c>
      <c r="P651" s="38">
        <f>N651*60</f>
        <v>160.99982872626458</v>
      </c>
      <c r="R651" s="10"/>
      <c r="S651" s="10"/>
    </row>
    <row r="652" spans="1:19" s="9" customFormat="1" ht="12.75" customHeight="1">
      <c r="A652" s="179"/>
      <c r="B652" s="87" t="s">
        <v>762</v>
      </c>
      <c r="C652" s="37">
        <v>7</v>
      </c>
      <c r="D652" s="37" t="s">
        <v>31</v>
      </c>
      <c r="E652" s="41">
        <f>F652+G652+H652</f>
        <v>3.968</v>
      </c>
      <c r="F652" s="41">
        <v>0.756</v>
      </c>
      <c r="G652" s="41">
        <v>0.07</v>
      </c>
      <c r="H652" s="41">
        <v>3.142</v>
      </c>
      <c r="I652" s="40">
        <v>358.82</v>
      </c>
      <c r="J652" s="41">
        <v>3.142</v>
      </c>
      <c r="K652" s="40">
        <v>358.82</v>
      </c>
      <c r="L652" s="39">
        <f t="shared" si="139"/>
        <v>0.008756479571930216</v>
      </c>
      <c r="M652" s="37">
        <v>361.99</v>
      </c>
      <c r="N652" s="38">
        <f t="shared" si="140"/>
        <v>3.169758040243019</v>
      </c>
      <c r="O652" s="38">
        <f t="shared" si="138"/>
        <v>525.388774315813</v>
      </c>
      <c r="P652" s="38">
        <f>O652*M652/1000</f>
        <v>190.18548241458114</v>
      </c>
      <c r="Q652" s="11"/>
      <c r="R652" s="10"/>
      <c r="S652" s="10"/>
    </row>
    <row r="653" spans="1:19" s="9" customFormat="1" ht="12.75" customHeight="1">
      <c r="A653" s="179"/>
      <c r="B653" s="125" t="s">
        <v>417</v>
      </c>
      <c r="C653" s="171">
        <v>8</v>
      </c>
      <c r="D653" s="51">
        <v>1972</v>
      </c>
      <c r="E653" s="172">
        <f>F653+G653+H653</f>
        <v>4.883999</v>
      </c>
      <c r="F653" s="173">
        <v>0.35700000000000004</v>
      </c>
      <c r="G653" s="173">
        <v>0.67</v>
      </c>
      <c r="H653" s="173">
        <v>3.856999</v>
      </c>
      <c r="I653" s="174">
        <v>440.39</v>
      </c>
      <c r="J653" s="173">
        <v>3.856999</v>
      </c>
      <c r="K653" s="174">
        <v>440.39</v>
      </c>
      <c r="L653" s="139">
        <f t="shared" si="139"/>
        <v>0.00875814391789096</v>
      </c>
      <c r="M653" s="52">
        <v>315.01</v>
      </c>
      <c r="N653" s="52">
        <f t="shared" si="140"/>
        <v>2.7589029155748315</v>
      </c>
      <c r="O653" s="52">
        <f t="shared" si="138"/>
        <v>525.4886350734577</v>
      </c>
      <c r="P653" s="52">
        <f>O653*M653/1000</f>
        <v>165.5341749344899</v>
      </c>
      <c r="R653" s="10"/>
      <c r="S653" s="10"/>
    </row>
    <row r="654" spans="1:19" s="9" customFormat="1" ht="12.75" customHeight="1">
      <c r="A654" s="179"/>
      <c r="B654" s="87" t="s">
        <v>526</v>
      </c>
      <c r="C654" s="40">
        <v>109</v>
      </c>
      <c r="D654" s="37" t="s">
        <v>31</v>
      </c>
      <c r="E654" s="41">
        <f>F654+G654+H654</f>
        <v>42.584333</v>
      </c>
      <c r="F654" s="41">
        <v>3.817452</v>
      </c>
      <c r="G654" s="41">
        <v>16.32</v>
      </c>
      <c r="H654" s="41">
        <v>22.446881</v>
      </c>
      <c r="I654" s="40">
        <v>2560.75</v>
      </c>
      <c r="J654" s="41">
        <v>22.446881</v>
      </c>
      <c r="K654" s="40">
        <v>2560.75</v>
      </c>
      <c r="L654" s="39">
        <f t="shared" si="139"/>
        <v>0.008765744801327736</v>
      </c>
      <c r="M654" s="38">
        <v>221.4</v>
      </c>
      <c r="N654" s="38">
        <f t="shared" si="140"/>
        <v>1.9407358990139607</v>
      </c>
      <c r="O654" s="38">
        <f t="shared" si="138"/>
        <v>525.944688079664</v>
      </c>
      <c r="P654" s="38">
        <f>O654*M654/1000</f>
        <v>116.44415394083762</v>
      </c>
      <c r="Q654" s="11"/>
      <c r="R654" s="10"/>
      <c r="S654" s="10"/>
    </row>
    <row r="655" spans="1:19" s="9" customFormat="1" ht="12.75" customHeight="1">
      <c r="A655" s="179"/>
      <c r="B655" s="87" t="s">
        <v>336</v>
      </c>
      <c r="C655" s="37">
        <v>9</v>
      </c>
      <c r="D655" s="37">
        <v>1968</v>
      </c>
      <c r="E655" s="41">
        <v>5.597002</v>
      </c>
      <c r="F655" s="41">
        <v>0.561</v>
      </c>
      <c r="G655" s="41">
        <v>1.422585</v>
      </c>
      <c r="H655" s="41">
        <v>3.613417</v>
      </c>
      <c r="I655" s="40">
        <v>412.22</v>
      </c>
      <c r="J655" s="41">
        <v>3.613417</v>
      </c>
      <c r="K655" s="40">
        <v>412.22</v>
      </c>
      <c r="L655" s="39">
        <f t="shared" si="139"/>
        <v>0.008765748871961574</v>
      </c>
      <c r="M655" s="38">
        <v>247.6</v>
      </c>
      <c r="N655" s="38">
        <f t="shared" si="140"/>
        <v>2.1703994206976858</v>
      </c>
      <c r="O655" s="38">
        <f t="shared" si="138"/>
        <v>525.9449323176945</v>
      </c>
      <c r="P655" s="38">
        <f>O655*M655/1000</f>
        <v>130.22396524186112</v>
      </c>
      <c r="R655" s="10"/>
      <c r="S655" s="10"/>
    </row>
    <row r="656" spans="1:19" s="9" customFormat="1" ht="13.5" customHeight="1">
      <c r="A656" s="179"/>
      <c r="B656" s="87" t="s">
        <v>564</v>
      </c>
      <c r="C656" s="37">
        <v>17</v>
      </c>
      <c r="D656" s="37" t="s">
        <v>31</v>
      </c>
      <c r="E656" s="41">
        <f>F656+G656+H656</f>
        <v>9.115</v>
      </c>
      <c r="F656" s="41">
        <v>1.5882</v>
      </c>
      <c r="G656" s="41">
        <v>0.685</v>
      </c>
      <c r="H656" s="41">
        <v>6.8418</v>
      </c>
      <c r="I656" s="40">
        <v>780.3</v>
      </c>
      <c r="J656" s="41">
        <v>6.8418</v>
      </c>
      <c r="K656" s="40">
        <v>780.3</v>
      </c>
      <c r="L656" s="39">
        <f t="shared" si="139"/>
        <v>0.008768166089965399</v>
      </c>
      <c r="M656" s="38">
        <v>206.4</v>
      </c>
      <c r="N656" s="38">
        <f t="shared" si="140"/>
        <v>1.8097494809688583</v>
      </c>
      <c r="O656" s="38">
        <f>L656*1000*60</f>
        <v>526.089965397924</v>
      </c>
      <c r="P656" s="38">
        <f>N656*60</f>
        <v>108.5849688581315</v>
      </c>
      <c r="R656" s="10"/>
      <c r="S656" s="10"/>
    </row>
    <row r="657" spans="1:19" s="9" customFormat="1" ht="12.75" customHeight="1">
      <c r="A657" s="179"/>
      <c r="B657" s="119" t="s">
        <v>482</v>
      </c>
      <c r="C657" s="64">
        <v>20</v>
      </c>
      <c r="D657" s="64">
        <v>1973</v>
      </c>
      <c r="E657" s="65">
        <v>12.189</v>
      </c>
      <c r="F657" s="65">
        <v>2.083452</v>
      </c>
      <c r="G657" s="65" t="s">
        <v>451</v>
      </c>
      <c r="H657" s="65">
        <v>10.105548</v>
      </c>
      <c r="I657" s="175">
        <v>1149.7</v>
      </c>
      <c r="J657" s="65">
        <v>10.11</v>
      </c>
      <c r="K657" s="175">
        <v>1149.7</v>
      </c>
      <c r="L657" s="176">
        <f t="shared" si="139"/>
        <v>0.00879359832999913</v>
      </c>
      <c r="M657" s="63">
        <v>329.943</v>
      </c>
      <c r="N657" s="177">
        <f t="shared" si="140"/>
        <v>2.9013862137949027</v>
      </c>
      <c r="O657" s="177">
        <f aca="true" t="shared" si="142" ref="O657:O663">L657*60*1000</f>
        <v>527.6158997999478</v>
      </c>
      <c r="P657" s="177">
        <f>O657*M657/1000</f>
        <v>174.08317282769417</v>
      </c>
      <c r="R657" s="10"/>
      <c r="S657" s="10"/>
    </row>
    <row r="658" spans="1:19" s="9" customFormat="1" ht="13.5" customHeight="1">
      <c r="A658" s="179"/>
      <c r="B658" s="91" t="s">
        <v>865</v>
      </c>
      <c r="C658" s="37">
        <v>14</v>
      </c>
      <c r="D658" s="37" t="s">
        <v>31</v>
      </c>
      <c r="E658" s="41">
        <v>6.655</v>
      </c>
      <c r="F658" s="41">
        <f>18*0.051</f>
        <v>0.9179999999999999</v>
      </c>
      <c r="G658" s="41">
        <f>14*0.01</f>
        <v>0.14</v>
      </c>
      <c r="H658" s="41">
        <f>+E658-F658-G658</f>
        <v>5.597</v>
      </c>
      <c r="I658" s="37"/>
      <c r="J658" s="41">
        <f>+H658</f>
        <v>5.597</v>
      </c>
      <c r="K658" s="40">
        <v>635.91</v>
      </c>
      <c r="L658" s="39">
        <f t="shared" si="139"/>
        <v>0.00880155996917803</v>
      </c>
      <c r="M658" s="38">
        <v>347.8</v>
      </c>
      <c r="N658" s="38">
        <f t="shared" si="140"/>
        <v>3.061182557280119</v>
      </c>
      <c r="O658" s="38">
        <f t="shared" si="142"/>
        <v>528.0935981506818</v>
      </c>
      <c r="P658" s="38">
        <f>O658*M658/1000</f>
        <v>183.67095343680714</v>
      </c>
      <c r="Q658" s="11"/>
      <c r="R658" s="10"/>
      <c r="S658" s="10"/>
    </row>
    <row r="659" spans="1:19" s="9" customFormat="1" ht="12.75" customHeight="1">
      <c r="A659" s="179"/>
      <c r="B659" s="119" t="s">
        <v>315</v>
      </c>
      <c r="C659" s="64">
        <v>4</v>
      </c>
      <c r="D659" s="64">
        <v>1958</v>
      </c>
      <c r="E659" s="65">
        <v>2.76</v>
      </c>
      <c r="F659" s="65">
        <v>0.306</v>
      </c>
      <c r="G659" s="65">
        <v>0.32</v>
      </c>
      <c r="H659" s="65">
        <v>2.134</v>
      </c>
      <c r="I659" s="175">
        <v>241.48</v>
      </c>
      <c r="J659" s="65">
        <v>2.134</v>
      </c>
      <c r="K659" s="175">
        <v>241.48</v>
      </c>
      <c r="L659" s="138">
        <v>0.008837</v>
      </c>
      <c r="M659" s="63">
        <v>281.7</v>
      </c>
      <c r="N659" s="177">
        <f>L659*M659*1.09</f>
        <v>2.713427361</v>
      </c>
      <c r="O659" s="177">
        <f t="shared" si="142"/>
        <v>530.2199999999999</v>
      </c>
      <c r="P659" s="177">
        <f>M659*O659/1000</f>
        <v>149.36297399999995</v>
      </c>
      <c r="R659" s="10"/>
      <c r="S659" s="10"/>
    </row>
    <row r="660" spans="1:19" s="9" customFormat="1" ht="12.75">
      <c r="A660" s="179"/>
      <c r="B660" s="87" t="s">
        <v>828</v>
      </c>
      <c r="C660" s="37">
        <v>40</v>
      </c>
      <c r="D660" s="37">
        <v>1975</v>
      </c>
      <c r="E660" s="41">
        <f>SUM(F660+G660+H660)</f>
        <v>28.6</v>
      </c>
      <c r="F660" s="41">
        <v>2.2</v>
      </c>
      <c r="G660" s="41">
        <v>6.4</v>
      </c>
      <c r="H660" s="41">
        <v>20</v>
      </c>
      <c r="I660" s="40">
        <v>2260.93</v>
      </c>
      <c r="J660" s="41">
        <v>20</v>
      </c>
      <c r="K660" s="40">
        <v>2260.9</v>
      </c>
      <c r="L660" s="39">
        <f>SUM(J660/K660)</f>
        <v>0.008846034764916626</v>
      </c>
      <c r="M660" s="38">
        <v>214.3</v>
      </c>
      <c r="N660" s="38">
        <f>SUM(L660*M660)</f>
        <v>1.895705250121633</v>
      </c>
      <c r="O660" s="38">
        <f t="shared" si="142"/>
        <v>530.7620858949975</v>
      </c>
      <c r="P660" s="38">
        <f>SUM(N660*60)</f>
        <v>113.74231500729798</v>
      </c>
      <c r="R660" s="10"/>
      <c r="S660" s="10"/>
    </row>
    <row r="661" spans="1:19" s="9" customFormat="1" ht="12.75">
      <c r="A661" s="179"/>
      <c r="B661" s="119" t="s">
        <v>483</v>
      </c>
      <c r="C661" s="64">
        <v>23</v>
      </c>
      <c r="D661" s="64">
        <v>1964</v>
      </c>
      <c r="E661" s="65">
        <v>11.503</v>
      </c>
      <c r="F661" s="65">
        <v>1.762356</v>
      </c>
      <c r="G661" s="65" t="s">
        <v>451</v>
      </c>
      <c r="H661" s="65">
        <v>9.740644</v>
      </c>
      <c r="I661" s="175">
        <v>1100.28</v>
      </c>
      <c r="J661" s="65">
        <v>9.31</v>
      </c>
      <c r="K661" s="175">
        <v>1052.09</v>
      </c>
      <c r="L661" s="176">
        <f>J661/K661</f>
        <v>0.00884905283768499</v>
      </c>
      <c r="M661" s="63">
        <v>334.412</v>
      </c>
      <c r="N661" s="177">
        <f>L661*M661</f>
        <v>2.959229457555913</v>
      </c>
      <c r="O661" s="177">
        <f t="shared" si="142"/>
        <v>530.9431702610993</v>
      </c>
      <c r="P661" s="177">
        <f>O661*M661/1000</f>
        <v>177.55376745335477</v>
      </c>
      <c r="R661" s="10"/>
      <c r="S661" s="10"/>
    </row>
    <row r="662" spans="1:19" s="9" customFormat="1" ht="12.75">
      <c r="A662" s="179"/>
      <c r="B662" s="119" t="s">
        <v>316</v>
      </c>
      <c r="C662" s="64">
        <v>9</v>
      </c>
      <c r="D662" s="64">
        <v>1989</v>
      </c>
      <c r="E662" s="65">
        <v>5.314998</v>
      </c>
      <c r="F662" s="65">
        <v>0.051</v>
      </c>
      <c r="G662" s="65">
        <v>0.557418</v>
      </c>
      <c r="H662" s="65">
        <v>4.70658</v>
      </c>
      <c r="I662" s="175">
        <v>530.14</v>
      </c>
      <c r="J662" s="65">
        <v>4.70658</v>
      </c>
      <c r="K662" s="175">
        <v>530.14</v>
      </c>
      <c r="L662" s="138">
        <v>0.008877</v>
      </c>
      <c r="M662" s="63">
        <v>281.7</v>
      </c>
      <c r="N662" s="177">
        <f>L662*M662*1.09</f>
        <v>2.725709481</v>
      </c>
      <c r="O662" s="177">
        <f t="shared" si="142"/>
        <v>532.62</v>
      </c>
      <c r="P662" s="177">
        <f>M662*O662/1000</f>
        <v>150.039054</v>
      </c>
      <c r="Q662" s="11"/>
      <c r="R662" s="10"/>
      <c r="S662" s="10"/>
    </row>
    <row r="663" spans="1:19" s="9" customFormat="1" ht="12.75">
      <c r="A663" s="179"/>
      <c r="B663" s="119" t="s">
        <v>378</v>
      </c>
      <c r="C663" s="64">
        <v>37</v>
      </c>
      <c r="D663" s="64">
        <v>1994</v>
      </c>
      <c r="E663" s="65">
        <f>F663+G663+H663</f>
        <v>25.82</v>
      </c>
      <c r="F663" s="65">
        <v>2.08</v>
      </c>
      <c r="G663" s="65">
        <v>5.92</v>
      </c>
      <c r="H663" s="65">
        <v>17.82</v>
      </c>
      <c r="I663" s="175">
        <v>2066.52</v>
      </c>
      <c r="J663" s="65">
        <v>17.82</v>
      </c>
      <c r="K663" s="175">
        <v>2002.99</v>
      </c>
      <c r="L663" s="176">
        <f aca="true" t="shared" si="143" ref="L663:L676">J663/K663</f>
        <v>0.008896699434345654</v>
      </c>
      <c r="M663" s="63">
        <v>320.7</v>
      </c>
      <c r="N663" s="177">
        <f aca="true" t="shared" si="144" ref="N663:N676">L663*M663</f>
        <v>2.8531715085946514</v>
      </c>
      <c r="O663" s="177">
        <f t="shared" si="142"/>
        <v>533.8019660607392</v>
      </c>
      <c r="P663" s="177">
        <f>O663*M663/1000</f>
        <v>171.19029051567907</v>
      </c>
      <c r="R663" s="10"/>
      <c r="S663" s="10"/>
    </row>
    <row r="664" spans="1:19" s="9" customFormat="1" ht="12.75">
      <c r="A664" s="179"/>
      <c r="B664" s="87" t="s">
        <v>591</v>
      </c>
      <c r="C664" s="37">
        <v>60</v>
      </c>
      <c r="D664" s="37">
        <v>1981</v>
      </c>
      <c r="E664" s="41">
        <v>43.1</v>
      </c>
      <c r="F664" s="41">
        <v>5.669</v>
      </c>
      <c r="G664" s="41">
        <v>9.6</v>
      </c>
      <c r="H664" s="41">
        <f>E664-F664-G664</f>
        <v>27.831000000000003</v>
      </c>
      <c r="I664" s="40">
        <v>3123.05</v>
      </c>
      <c r="J664" s="41">
        <v>27.831</v>
      </c>
      <c r="K664" s="40">
        <v>3123.05</v>
      </c>
      <c r="L664" s="39">
        <f t="shared" si="143"/>
        <v>0.008911480763996733</v>
      </c>
      <c r="M664" s="38">
        <v>243.179</v>
      </c>
      <c r="N664" s="38">
        <f t="shared" si="144"/>
        <v>2.1670849807079615</v>
      </c>
      <c r="O664" s="38">
        <f>L664*1000*60</f>
        <v>534.688845839804</v>
      </c>
      <c r="P664" s="38">
        <f>N664*60</f>
        <v>130.0250988424777</v>
      </c>
      <c r="R664" s="10"/>
      <c r="S664" s="10"/>
    </row>
    <row r="665" spans="1:19" s="9" customFormat="1" ht="12.75">
      <c r="A665" s="179"/>
      <c r="B665" s="87" t="s">
        <v>337</v>
      </c>
      <c r="C665" s="37">
        <v>23</v>
      </c>
      <c r="D665" s="37">
        <v>1970</v>
      </c>
      <c r="E665" s="41">
        <v>14.288997</v>
      </c>
      <c r="F665" s="41">
        <v>0.999345</v>
      </c>
      <c r="G665" s="41">
        <v>3.47743</v>
      </c>
      <c r="H665" s="41">
        <v>9.812222</v>
      </c>
      <c r="I665" s="40">
        <v>1095.22</v>
      </c>
      <c r="J665" s="41">
        <v>8.443222</v>
      </c>
      <c r="K665" s="40">
        <v>947.22</v>
      </c>
      <c r="L665" s="39">
        <f t="shared" si="143"/>
        <v>0.008913686366419628</v>
      </c>
      <c r="M665" s="38">
        <v>247.6</v>
      </c>
      <c r="N665" s="38">
        <f t="shared" si="144"/>
        <v>2.2070287443254997</v>
      </c>
      <c r="O665" s="38">
        <f aca="true" t="shared" si="145" ref="O665:O673">L665*60*1000</f>
        <v>534.8211819851776</v>
      </c>
      <c r="P665" s="38">
        <f aca="true" t="shared" si="146" ref="P665:P673">O665*M665/1000</f>
        <v>132.42172465952999</v>
      </c>
      <c r="R665" s="10"/>
      <c r="S665" s="10"/>
    </row>
    <row r="666" spans="1:19" s="9" customFormat="1" ht="12.75">
      <c r="A666" s="179"/>
      <c r="B666" s="87" t="s">
        <v>527</v>
      </c>
      <c r="C666" s="40">
        <v>12</v>
      </c>
      <c r="D666" s="37" t="s">
        <v>31</v>
      </c>
      <c r="E666" s="41">
        <f>F666+G666+H666</f>
        <v>7.265419</v>
      </c>
      <c r="F666" s="41">
        <v>0.51</v>
      </c>
      <c r="G666" s="41">
        <v>1.92</v>
      </c>
      <c r="H666" s="41">
        <v>4.835419</v>
      </c>
      <c r="I666" s="40">
        <v>540.32</v>
      </c>
      <c r="J666" s="41">
        <v>4.835419</v>
      </c>
      <c r="K666" s="40">
        <v>540.32</v>
      </c>
      <c r="L666" s="39">
        <f t="shared" si="143"/>
        <v>0.008949176413976901</v>
      </c>
      <c r="M666" s="38">
        <v>221.4</v>
      </c>
      <c r="N666" s="38">
        <f t="shared" si="144"/>
        <v>1.981347658054486</v>
      </c>
      <c r="O666" s="38">
        <f t="shared" si="145"/>
        <v>536.9505848386141</v>
      </c>
      <c r="P666" s="38">
        <f t="shared" si="146"/>
        <v>118.88085948326916</v>
      </c>
      <c r="R666" s="10"/>
      <c r="S666" s="10"/>
    </row>
    <row r="667" spans="1:19" s="9" customFormat="1" ht="12.75">
      <c r="A667" s="179"/>
      <c r="B667" s="87" t="s">
        <v>661</v>
      </c>
      <c r="C667" s="37">
        <v>10</v>
      </c>
      <c r="D667" s="37">
        <v>1945</v>
      </c>
      <c r="E667" s="41">
        <v>2.294</v>
      </c>
      <c r="F667" s="41">
        <v>0.842</v>
      </c>
      <c r="G667" s="41">
        <v>0</v>
      </c>
      <c r="H667" s="41">
        <v>1.452</v>
      </c>
      <c r="I667" s="40">
        <v>256.65</v>
      </c>
      <c r="J667" s="41">
        <v>2.3</v>
      </c>
      <c r="K667" s="40">
        <v>256.7</v>
      </c>
      <c r="L667" s="39">
        <f t="shared" si="143"/>
        <v>0.008959875340864823</v>
      </c>
      <c r="M667" s="38">
        <v>225</v>
      </c>
      <c r="N667" s="38">
        <f t="shared" si="144"/>
        <v>2.0159719516945853</v>
      </c>
      <c r="O667" s="38">
        <f t="shared" si="145"/>
        <v>537.5925204518894</v>
      </c>
      <c r="P667" s="38">
        <f t="shared" si="146"/>
        <v>120.95831710167512</v>
      </c>
      <c r="R667" s="10"/>
      <c r="S667" s="10"/>
    </row>
    <row r="668" spans="1:19" s="9" customFormat="1" ht="13.5" customHeight="1">
      <c r="A668" s="179"/>
      <c r="B668" s="87" t="s">
        <v>614</v>
      </c>
      <c r="C668" s="37">
        <v>20</v>
      </c>
      <c r="D668" s="37">
        <v>1970</v>
      </c>
      <c r="E668" s="41">
        <v>13.161</v>
      </c>
      <c r="F668" s="41">
        <v>1.304</v>
      </c>
      <c r="G668" s="41">
        <v>3.2</v>
      </c>
      <c r="H668" s="41">
        <v>8.656</v>
      </c>
      <c r="I668" s="40">
        <v>964.02</v>
      </c>
      <c r="J668" s="41">
        <v>8.656</v>
      </c>
      <c r="K668" s="40">
        <v>964.02</v>
      </c>
      <c r="L668" s="39">
        <f t="shared" si="143"/>
        <v>0.008979066824339745</v>
      </c>
      <c r="M668" s="38">
        <v>210.7</v>
      </c>
      <c r="N668" s="38">
        <f t="shared" si="144"/>
        <v>1.8918893798883842</v>
      </c>
      <c r="O668" s="38">
        <f t="shared" si="145"/>
        <v>538.7440094603847</v>
      </c>
      <c r="P668" s="38">
        <f t="shared" si="146"/>
        <v>113.51336279330306</v>
      </c>
      <c r="R668" s="10"/>
      <c r="S668" s="10"/>
    </row>
    <row r="669" spans="1:19" s="9" customFormat="1" ht="12.75" customHeight="1">
      <c r="A669" s="179"/>
      <c r="B669" s="125" t="s">
        <v>418</v>
      </c>
      <c r="C669" s="171">
        <v>17</v>
      </c>
      <c r="D669" s="51">
        <v>1983</v>
      </c>
      <c r="E669" s="172">
        <f>F669+G669+H669</f>
        <v>14.800001</v>
      </c>
      <c r="F669" s="173">
        <v>1.53</v>
      </c>
      <c r="G669" s="173">
        <v>2.88</v>
      </c>
      <c r="H669" s="173">
        <v>10.390001</v>
      </c>
      <c r="I669" s="174">
        <v>1153.81</v>
      </c>
      <c r="J669" s="173">
        <v>10.390001</v>
      </c>
      <c r="K669" s="174">
        <v>1153.81</v>
      </c>
      <c r="L669" s="139">
        <f t="shared" si="143"/>
        <v>0.009004949688423572</v>
      </c>
      <c r="M669" s="52">
        <v>315.01</v>
      </c>
      <c r="N669" s="52">
        <f t="shared" si="144"/>
        <v>2.8366492013503093</v>
      </c>
      <c r="O669" s="52">
        <f t="shared" si="145"/>
        <v>540.2969813054143</v>
      </c>
      <c r="P669" s="52">
        <f t="shared" si="146"/>
        <v>170.19895208101858</v>
      </c>
      <c r="R669" s="10"/>
      <c r="S669" s="10"/>
    </row>
    <row r="670" spans="1:19" s="9" customFormat="1" ht="12.75">
      <c r="A670" s="179"/>
      <c r="B670" s="87" t="s">
        <v>615</v>
      </c>
      <c r="C670" s="37">
        <v>12</v>
      </c>
      <c r="D670" s="37">
        <v>1995</v>
      </c>
      <c r="E670" s="41">
        <v>12.572</v>
      </c>
      <c r="F670" s="41">
        <v>1.956</v>
      </c>
      <c r="G670" s="41">
        <v>1.853</v>
      </c>
      <c r="H670" s="41">
        <v>8.762</v>
      </c>
      <c r="I670" s="40">
        <v>972.66</v>
      </c>
      <c r="J670" s="41">
        <v>8.762</v>
      </c>
      <c r="K670" s="40">
        <v>972.66</v>
      </c>
      <c r="L670" s="39">
        <f t="shared" si="143"/>
        <v>0.009008286554397222</v>
      </c>
      <c r="M670" s="38">
        <v>210.7</v>
      </c>
      <c r="N670" s="38">
        <f t="shared" si="144"/>
        <v>1.8980459770114946</v>
      </c>
      <c r="O670" s="38">
        <f t="shared" si="145"/>
        <v>540.4971932638333</v>
      </c>
      <c r="P670" s="38">
        <f t="shared" si="146"/>
        <v>113.88275862068967</v>
      </c>
      <c r="R670" s="10"/>
      <c r="S670" s="10"/>
    </row>
    <row r="671" spans="1:19" s="9" customFormat="1" ht="12.75">
      <c r="A671" s="179"/>
      <c r="B671" s="119" t="s">
        <v>484</v>
      </c>
      <c r="C671" s="64">
        <v>33</v>
      </c>
      <c r="D671" s="64">
        <v>1978</v>
      </c>
      <c r="E671" s="65">
        <v>12.084</v>
      </c>
      <c r="F671" s="65">
        <v>1.938</v>
      </c>
      <c r="G671" s="65">
        <v>0.27</v>
      </c>
      <c r="H671" s="65">
        <v>9.876</v>
      </c>
      <c r="I671" s="175">
        <v>1095.47</v>
      </c>
      <c r="J671" s="65">
        <v>9.88</v>
      </c>
      <c r="K671" s="175">
        <v>1095.47</v>
      </c>
      <c r="L671" s="176">
        <f t="shared" si="143"/>
        <v>0.00901895989849106</v>
      </c>
      <c r="M671" s="63">
        <v>329.943</v>
      </c>
      <c r="N671" s="177">
        <f t="shared" si="144"/>
        <v>2.9757426857878353</v>
      </c>
      <c r="O671" s="177">
        <f t="shared" si="145"/>
        <v>541.1375939094636</v>
      </c>
      <c r="P671" s="177">
        <f t="shared" si="146"/>
        <v>178.54456114727014</v>
      </c>
      <c r="R671" s="10"/>
      <c r="S671" s="10"/>
    </row>
    <row r="672" spans="1:16" s="9" customFormat="1" ht="12.75" customHeight="1">
      <c r="A672" s="179"/>
      <c r="B672" s="119" t="s">
        <v>866</v>
      </c>
      <c r="C672" s="37">
        <v>16</v>
      </c>
      <c r="D672" s="64" t="s">
        <v>31</v>
      </c>
      <c r="E672" s="41">
        <v>5.751</v>
      </c>
      <c r="F672" s="41">
        <f>19.5*0.051</f>
        <v>0.9944999999999999</v>
      </c>
      <c r="G672" s="41">
        <f>0.01*16</f>
        <v>0.16</v>
      </c>
      <c r="H672" s="41">
        <f>+E672-F672-G672</f>
        <v>4.596500000000001</v>
      </c>
      <c r="I672" s="47"/>
      <c r="J672" s="41">
        <f>+H672</f>
        <v>4.596500000000001</v>
      </c>
      <c r="K672" s="40">
        <v>507.62</v>
      </c>
      <c r="L672" s="39">
        <f t="shared" si="143"/>
        <v>0.00905500177297979</v>
      </c>
      <c r="M672" s="38">
        <v>347.8</v>
      </c>
      <c r="N672" s="38">
        <f t="shared" si="144"/>
        <v>3.1493296166423708</v>
      </c>
      <c r="O672" s="38">
        <f t="shared" si="145"/>
        <v>543.3001063787873</v>
      </c>
      <c r="P672" s="38">
        <f t="shared" si="146"/>
        <v>188.95977699854222</v>
      </c>
    </row>
    <row r="673" spans="1:19" s="9" customFormat="1" ht="12.75">
      <c r="A673" s="179"/>
      <c r="B673" s="87" t="s">
        <v>731</v>
      </c>
      <c r="C673" s="37">
        <v>8</v>
      </c>
      <c r="D673" s="37">
        <v>1970</v>
      </c>
      <c r="E673" s="41">
        <v>3.795</v>
      </c>
      <c r="F673" s="41">
        <v>0.28</v>
      </c>
      <c r="G673" s="41">
        <v>0.08</v>
      </c>
      <c r="H673" s="41">
        <v>3.435</v>
      </c>
      <c r="I673" s="40">
        <v>378.21</v>
      </c>
      <c r="J673" s="41">
        <v>3.435</v>
      </c>
      <c r="K673" s="40">
        <v>378.21</v>
      </c>
      <c r="L673" s="39">
        <f t="shared" si="143"/>
        <v>0.009082255889585151</v>
      </c>
      <c r="M673" s="38">
        <v>194.3</v>
      </c>
      <c r="N673" s="38">
        <f t="shared" si="144"/>
        <v>1.764682319346395</v>
      </c>
      <c r="O673" s="38">
        <f t="shared" si="145"/>
        <v>544.9353533751091</v>
      </c>
      <c r="P673" s="38">
        <f t="shared" si="146"/>
        <v>105.8809391607837</v>
      </c>
      <c r="R673" s="10"/>
      <c r="S673" s="10"/>
    </row>
    <row r="674" spans="1:19" s="9" customFormat="1" ht="12.75">
      <c r="A674" s="179"/>
      <c r="B674" s="87" t="s">
        <v>565</v>
      </c>
      <c r="C674" s="51">
        <v>20</v>
      </c>
      <c r="D674" s="37" t="s">
        <v>31</v>
      </c>
      <c r="E674" s="41">
        <f>F674+G674+H674</f>
        <v>14.216800000000001</v>
      </c>
      <c r="F674" s="41">
        <v>2.2624</v>
      </c>
      <c r="G674" s="41">
        <v>3.04</v>
      </c>
      <c r="H674" s="41">
        <v>8.9144</v>
      </c>
      <c r="I674" s="40">
        <v>979.37</v>
      </c>
      <c r="J674" s="41">
        <v>8.9144</v>
      </c>
      <c r="K674" s="40">
        <v>979.37</v>
      </c>
      <c r="L674" s="39">
        <f t="shared" si="143"/>
        <v>0.00910217793071056</v>
      </c>
      <c r="M674" s="38">
        <v>206.4</v>
      </c>
      <c r="N674" s="38">
        <f t="shared" si="144"/>
        <v>1.8786895248986597</v>
      </c>
      <c r="O674" s="38">
        <f>L674*1000*60</f>
        <v>546.1306758426337</v>
      </c>
      <c r="P674" s="38">
        <f>N674*60</f>
        <v>112.72137149391958</v>
      </c>
      <c r="Q674" s="11"/>
      <c r="R674" s="10"/>
      <c r="S674" s="10"/>
    </row>
    <row r="675" spans="1:19" s="9" customFormat="1" ht="12.75" customHeight="1">
      <c r="A675" s="179"/>
      <c r="B675" s="134" t="s">
        <v>174</v>
      </c>
      <c r="C675" s="135">
        <v>32</v>
      </c>
      <c r="D675" s="37" t="s">
        <v>31</v>
      </c>
      <c r="E675" s="127">
        <v>24.725</v>
      </c>
      <c r="F675" s="127">
        <v>3.02</v>
      </c>
      <c r="G675" s="127">
        <v>4.96</v>
      </c>
      <c r="H675" s="127">
        <v>16.75</v>
      </c>
      <c r="I675" s="135" t="s">
        <v>155</v>
      </c>
      <c r="J675" s="127">
        <v>15.06</v>
      </c>
      <c r="K675" s="135">
        <v>1653.89</v>
      </c>
      <c r="L675" s="39">
        <f t="shared" si="143"/>
        <v>0.009105805101911252</v>
      </c>
      <c r="M675" s="38">
        <v>256</v>
      </c>
      <c r="N675" s="38">
        <f t="shared" si="144"/>
        <v>2.3310861060892805</v>
      </c>
      <c r="O675" s="38">
        <f aca="true" t="shared" si="147" ref="O675:O691">L675*60*1000</f>
        <v>546.3483061146751</v>
      </c>
      <c r="P675" s="38">
        <f>O675*M675/1000</f>
        <v>139.86516636535683</v>
      </c>
      <c r="R675" s="10"/>
      <c r="S675" s="10"/>
    </row>
    <row r="676" spans="1:19" s="9" customFormat="1" ht="12.75">
      <c r="A676" s="179"/>
      <c r="B676" s="87" t="s">
        <v>338</v>
      </c>
      <c r="C676" s="37">
        <v>25</v>
      </c>
      <c r="D676" s="37">
        <v>1964</v>
      </c>
      <c r="E676" s="41">
        <v>14.793998</v>
      </c>
      <c r="F676" s="41">
        <v>0.8415</v>
      </c>
      <c r="G676" s="41">
        <v>3.793559</v>
      </c>
      <c r="H676" s="41">
        <v>10.158939</v>
      </c>
      <c r="I676" s="40">
        <v>1114.14</v>
      </c>
      <c r="J676" s="41">
        <v>8.700576</v>
      </c>
      <c r="K676" s="40">
        <v>954.2</v>
      </c>
      <c r="L676" s="39">
        <f t="shared" si="143"/>
        <v>0.009118189058897505</v>
      </c>
      <c r="M676" s="38">
        <v>247.6</v>
      </c>
      <c r="N676" s="38">
        <f t="shared" si="144"/>
        <v>2.2576636109830224</v>
      </c>
      <c r="O676" s="38">
        <f t="shared" si="147"/>
        <v>547.0913435338504</v>
      </c>
      <c r="P676" s="38">
        <f>O676*M676/1000</f>
        <v>135.45981665898134</v>
      </c>
      <c r="R676" s="10"/>
      <c r="S676" s="10"/>
    </row>
    <row r="677" spans="1:19" s="9" customFormat="1" ht="12.75">
      <c r="A677" s="179"/>
      <c r="B677" s="119" t="s">
        <v>317</v>
      </c>
      <c r="C677" s="64">
        <v>24</v>
      </c>
      <c r="D677" s="64">
        <v>1961</v>
      </c>
      <c r="E677" s="65">
        <v>13.420001</v>
      </c>
      <c r="F677" s="65">
        <v>1.726452</v>
      </c>
      <c r="G677" s="65">
        <v>3.6</v>
      </c>
      <c r="H677" s="65">
        <v>8.093549</v>
      </c>
      <c r="I677" s="175">
        <v>887.52</v>
      </c>
      <c r="J677" s="65">
        <v>6.54628</v>
      </c>
      <c r="K677" s="175">
        <v>717.85</v>
      </c>
      <c r="L677" s="138">
        <v>0.009119</v>
      </c>
      <c r="M677" s="63">
        <v>281.7</v>
      </c>
      <c r="N677" s="177">
        <f>L677*M677*1.09</f>
        <v>2.800016307</v>
      </c>
      <c r="O677" s="177">
        <f t="shared" si="147"/>
        <v>547.1400000000001</v>
      </c>
      <c r="P677" s="177">
        <f>M677*O677/1000</f>
        <v>154.12933800000002</v>
      </c>
      <c r="R677" s="10"/>
      <c r="S677" s="10"/>
    </row>
    <row r="678" spans="1:19" s="9" customFormat="1" ht="12.75" customHeight="1">
      <c r="A678" s="179"/>
      <c r="B678" s="87" t="s">
        <v>149</v>
      </c>
      <c r="C678" s="37">
        <v>7</v>
      </c>
      <c r="D678" s="37">
        <v>1915</v>
      </c>
      <c r="E678" s="41">
        <v>6.57647</v>
      </c>
      <c r="F678" s="41">
        <v>2.29817</v>
      </c>
      <c r="G678" s="41">
        <v>0.7</v>
      </c>
      <c r="H678" s="41">
        <f>E678-F678-G678</f>
        <v>3.5782999999999996</v>
      </c>
      <c r="I678" s="40">
        <v>392.4</v>
      </c>
      <c r="J678" s="41">
        <f>H678</f>
        <v>3.5782999999999996</v>
      </c>
      <c r="K678" s="40">
        <f>I678</f>
        <v>392.4</v>
      </c>
      <c r="L678" s="39">
        <f>J678/K678</f>
        <v>0.009119011213047909</v>
      </c>
      <c r="M678" s="38">
        <v>288.2</v>
      </c>
      <c r="N678" s="38">
        <f>L678*M678</f>
        <v>2.6280990316004074</v>
      </c>
      <c r="O678" s="38">
        <f t="shared" si="147"/>
        <v>547.1406727828745</v>
      </c>
      <c r="P678" s="38">
        <f>O678*M678/1000</f>
        <v>157.68594189602442</v>
      </c>
      <c r="R678" s="10"/>
      <c r="S678" s="10"/>
    </row>
    <row r="679" spans="1:19" s="9" customFormat="1" ht="12.75" customHeight="1">
      <c r="A679" s="179"/>
      <c r="B679" s="91" t="s">
        <v>813</v>
      </c>
      <c r="C679" s="37">
        <v>12</v>
      </c>
      <c r="D679" s="37">
        <v>1961</v>
      </c>
      <c r="E679" s="41">
        <v>7.967</v>
      </c>
      <c r="F679" s="41">
        <v>1.132</v>
      </c>
      <c r="G679" s="41">
        <v>1.77</v>
      </c>
      <c r="H679" s="41">
        <v>5.064</v>
      </c>
      <c r="I679" s="47" t="s">
        <v>801</v>
      </c>
      <c r="J679" s="41">
        <v>5.064</v>
      </c>
      <c r="K679" s="40">
        <v>554.42</v>
      </c>
      <c r="L679" s="39">
        <f>J679/K679</f>
        <v>0.009133869629522746</v>
      </c>
      <c r="M679" s="37">
        <v>354.25</v>
      </c>
      <c r="N679" s="38">
        <f>L679*M679</f>
        <v>3.2356733162584326</v>
      </c>
      <c r="O679" s="38">
        <f t="shared" si="147"/>
        <v>548.0321777713647</v>
      </c>
      <c r="P679" s="38">
        <f>O679*M679/1000</f>
        <v>194.14039897550592</v>
      </c>
      <c r="R679" s="10"/>
      <c r="S679" s="10"/>
    </row>
    <row r="680" spans="1:19" s="9" customFormat="1" ht="12.75">
      <c r="A680" s="179"/>
      <c r="B680" s="87" t="s">
        <v>829</v>
      </c>
      <c r="C680" s="37">
        <v>28</v>
      </c>
      <c r="D680" s="37">
        <v>1969</v>
      </c>
      <c r="E680" s="41">
        <f>SUM(F680+G680+H680)</f>
        <v>10.5</v>
      </c>
      <c r="F680" s="41">
        <v>1.8</v>
      </c>
      <c r="G680" s="41">
        <v>0.3</v>
      </c>
      <c r="H680" s="41">
        <v>8.4</v>
      </c>
      <c r="I680" s="40">
        <v>917.1</v>
      </c>
      <c r="J680" s="41">
        <v>8.4</v>
      </c>
      <c r="K680" s="40">
        <v>917.1</v>
      </c>
      <c r="L680" s="39">
        <f>SUM(J680/K680)</f>
        <v>0.009159306509649984</v>
      </c>
      <c r="M680" s="38">
        <v>214.3</v>
      </c>
      <c r="N680" s="38">
        <f>SUM(L680*M680)</f>
        <v>1.9628393850179917</v>
      </c>
      <c r="O680" s="38">
        <f t="shared" si="147"/>
        <v>549.558390578999</v>
      </c>
      <c r="P680" s="38">
        <f>SUM(N680*60)</f>
        <v>117.7703631010795</v>
      </c>
      <c r="R680" s="10"/>
      <c r="S680" s="10"/>
    </row>
    <row r="681" spans="1:19" s="9" customFormat="1" ht="12.75">
      <c r="A681" s="179"/>
      <c r="B681" s="87" t="s">
        <v>712</v>
      </c>
      <c r="C681" s="37">
        <v>36</v>
      </c>
      <c r="D681" s="37"/>
      <c r="E681" s="41">
        <v>29.5</v>
      </c>
      <c r="F681" s="41">
        <v>4.4</v>
      </c>
      <c r="G681" s="41">
        <v>5.75</v>
      </c>
      <c r="H681" s="41">
        <v>19.3</v>
      </c>
      <c r="I681" s="47"/>
      <c r="J681" s="41">
        <v>19.3</v>
      </c>
      <c r="K681" s="40">
        <v>2107</v>
      </c>
      <c r="L681" s="39">
        <f>J681/K681</f>
        <v>0.009159943046986236</v>
      </c>
      <c r="M681" s="38">
        <v>234.1</v>
      </c>
      <c r="N681" s="38">
        <f>L681*M681</f>
        <v>2.144342667299478</v>
      </c>
      <c r="O681" s="38">
        <f t="shared" si="147"/>
        <v>549.5965828191743</v>
      </c>
      <c r="P681" s="38">
        <f>O681*M681/1000</f>
        <v>128.6605600379687</v>
      </c>
      <c r="R681" s="10"/>
      <c r="S681" s="10"/>
    </row>
    <row r="682" spans="1:19" s="9" customFormat="1" ht="12.75">
      <c r="A682" s="179"/>
      <c r="B682" s="87" t="s">
        <v>830</v>
      </c>
      <c r="C682" s="37">
        <v>12</v>
      </c>
      <c r="D682" s="37">
        <v>1963</v>
      </c>
      <c r="E682" s="41">
        <f>SUM(F682+G682+H682)</f>
        <v>7.4</v>
      </c>
      <c r="F682" s="41">
        <v>0.8</v>
      </c>
      <c r="G682" s="41">
        <v>1.7</v>
      </c>
      <c r="H682" s="41">
        <v>4.9</v>
      </c>
      <c r="I682" s="40">
        <v>533.92</v>
      </c>
      <c r="J682" s="41">
        <v>4.9</v>
      </c>
      <c r="K682" s="40">
        <v>533.9</v>
      </c>
      <c r="L682" s="39">
        <f>SUM(J682/K682)</f>
        <v>0.009177748642067805</v>
      </c>
      <c r="M682" s="38">
        <v>214.3</v>
      </c>
      <c r="N682" s="38">
        <f>SUM(L682*M682)</f>
        <v>1.9667915339951307</v>
      </c>
      <c r="O682" s="38">
        <f t="shared" si="147"/>
        <v>550.6649185240683</v>
      </c>
      <c r="P682" s="38">
        <f>SUM(N682*60)</f>
        <v>118.00749203970784</v>
      </c>
      <c r="R682" s="10"/>
      <c r="S682" s="10"/>
    </row>
    <row r="683" spans="1:19" s="9" customFormat="1" ht="12.75" customHeight="1">
      <c r="A683" s="179"/>
      <c r="B683" s="119" t="s">
        <v>318</v>
      </c>
      <c r="C683" s="64">
        <v>7</v>
      </c>
      <c r="D683" s="64">
        <v>1900</v>
      </c>
      <c r="E683" s="65">
        <v>3.79</v>
      </c>
      <c r="F683" s="65">
        <v>0.400452</v>
      </c>
      <c r="G683" s="65">
        <v>0.96</v>
      </c>
      <c r="H683" s="65">
        <v>2.429548</v>
      </c>
      <c r="I683" s="175">
        <v>263.54</v>
      </c>
      <c r="J683" s="65">
        <v>1.442665</v>
      </c>
      <c r="K683" s="175">
        <v>156.49</v>
      </c>
      <c r="L683" s="138">
        <v>0.009218</v>
      </c>
      <c r="M683" s="63">
        <v>281.7</v>
      </c>
      <c r="N683" s="177">
        <f>L683*M683*1.09</f>
        <v>2.8304145540000003</v>
      </c>
      <c r="O683" s="177">
        <f t="shared" si="147"/>
        <v>553.08</v>
      </c>
      <c r="P683" s="177">
        <f>M683*O683/1000</f>
        <v>155.802636</v>
      </c>
      <c r="R683" s="10"/>
      <c r="S683" s="10"/>
    </row>
    <row r="684" spans="1:22" s="9" customFormat="1" ht="12.75">
      <c r="A684" s="179"/>
      <c r="B684" s="119" t="s">
        <v>485</v>
      </c>
      <c r="C684" s="64">
        <v>33</v>
      </c>
      <c r="D684" s="64">
        <v>1985</v>
      </c>
      <c r="E684" s="65">
        <v>28.427</v>
      </c>
      <c r="F684" s="65">
        <v>4.154052</v>
      </c>
      <c r="G684" s="65">
        <v>5.28</v>
      </c>
      <c r="H684" s="65">
        <v>18.992948</v>
      </c>
      <c r="I684" s="175">
        <v>2059.6</v>
      </c>
      <c r="J684" s="65">
        <v>18.99</v>
      </c>
      <c r="K684" s="175">
        <v>2059.6</v>
      </c>
      <c r="L684" s="176">
        <f aca="true" t="shared" si="148" ref="L684:L695">J684/K684</f>
        <v>0.009220236939211496</v>
      </c>
      <c r="M684" s="63">
        <v>329.943</v>
      </c>
      <c r="N684" s="177">
        <f aca="true" t="shared" si="149" ref="N684:N695">L684*M684</f>
        <v>3.042152636434259</v>
      </c>
      <c r="O684" s="177">
        <f t="shared" si="147"/>
        <v>553.2142163526897</v>
      </c>
      <c r="P684" s="177">
        <f aca="true" t="shared" si="150" ref="P684:P691">O684*M684/1000</f>
        <v>182.5291581860555</v>
      </c>
      <c r="Q684" s="10"/>
      <c r="R684" s="10"/>
      <c r="S684" s="10"/>
      <c r="T684" s="12"/>
      <c r="U684" s="13"/>
      <c r="V684" s="13"/>
    </row>
    <row r="685" spans="1:19" s="9" customFormat="1" ht="12.75">
      <c r="A685" s="179"/>
      <c r="B685" s="87" t="s">
        <v>205</v>
      </c>
      <c r="C685" s="37">
        <v>40</v>
      </c>
      <c r="D685" s="37">
        <v>1964</v>
      </c>
      <c r="E685" s="41">
        <v>20.02</v>
      </c>
      <c r="F685" s="41">
        <v>3.2298</v>
      </c>
      <c r="G685" s="41">
        <v>0.4</v>
      </c>
      <c r="H685" s="41">
        <f>E685-F685-G685</f>
        <v>16.3902</v>
      </c>
      <c r="I685" s="40">
        <v>1769.44</v>
      </c>
      <c r="J685" s="41">
        <v>16.39</v>
      </c>
      <c r="K685" s="40">
        <v>1769.44</v>
      </c>
      <c r="L685" s="39">
        <f t="shared" si="148"/>
        <v>0.009262817614612532</v>
      </c>
      <c r="M685" s="38">
        <v>267.81</v>
      </c>
      <c r="N685" s="38">
        <f t="shared" si="149"/>
        <v>2.4806751853693823</v>
      </c>
      <c r="O685" s="38">
        <f t="shared" si="147"/>
        <v>555.769056876752</v>
      </c>
      <c r="P685" s="38">
        <f t="shared" si="150"/>
        <v>148.84051112216295</v>
      </c>
      <c r="R685" s="10"/>
      <c r="S685" s="10"/>
    </row>
    <row r="686" spans="1:19" s="9" customFormat="1" ht="12.75">
      <c r="A686" s="179"/>
      <c r="B686" s="125" t="s">
        <v>419</v>
      </c>
      <c r="C686" s="171">
        <v>19</v>
      </c>
      <c r="D686" s="51">
        <v>1980</v>
      </c>
      <c r="E686" s="172">
        <f>F686+G686+H686</f>
        <v>13.023892</v>
      </c>
      <c r="F686" s="173">
        <v>0.9690000000000001</v>
      </c>
      <c r="G686" s="173">
        <v>3.04</v>
      </c>
      <c r="H686" s="173">
        <v>9.014892</v>
      </c>
      <c r="I686" s="174">
        <v>1049.46</v>
      </c>
      <c r="J686" s="173">
        <v>9.014892</v>
      </c>
      <c r="K686" s="174">
        <v>972.23</v>
      </c>
      <c r="L686" s="139">
        <f t="shared" si="148"/>
        <v>0.009272386163767831</v>
      </c>
      <c r="M686" s="52">
        <v>315.01</v>
      </c>
      <c r="N686" s="52">
        <f t="shared" si="149"/>
        <v>2.9208943654485044</v>
      </c>
      <c r="O686" s="52">
        <f t="shared" si="147"/>
        <v>556.3431698260699</v>
      </c>
      <c r="P686" s="52">
        <f t="shared" si="150"/>
        <v>175.25366192691027</v>
      </c>
      <c r="R686" s="10"/>
      <c r="S686" s="10"/>
    </row>
    <row r="687" spans="1:19" s="9" customFormat="1" ht="12.75">
      <c r="A687" s="179"/>
      <c r="B687" s="87" t="s">
        <v>528</v>
      </c>
      <c r="C687" s="40">
        <v>44</v>
      </c>
      <c r="D687" s="37" t="s">
        <v>31</v>
      </c>
      <c r="E687" s="41">
        <f>F687+G687+H687</f>
        <v>17.397</v>
      </c>
      <c r="F687" s="41"/>
      <c r="G687" s="41"/>
      <c r="H687" s="41">
        <v>17.397</v>
      </c>
      <c r="I687" s="40">
        <v>1876.15</v>
      </c>
      <c r="J687" s="41">
        <v>17.396997</v>
      </c>
      <c r="K687" s="40">
        <v>1876.15</v>
      </c>
      <c r="L687" s="39">
        <f t="shared" si="148"/>
        <v>0.009272711137169203</v>
      </c>
      <c r="M687" s="38">
        <v>221.4</v>
      </c>
      <c r="N687" s="38">
        <f t="shared" si="149"/>
        <v>2.0529782457692614</v>
      </c>
      <c r="O687" s="38">
        <f t="shared" si="147"/>
        <v>556.3626682301522</v>
      </c>
      <c r="P687" s="38">
        <f t="shared" si="150"/>
        <v>123.1786947461557</v>
      </c>
      <c r="R687" s="10"/>
      <c r="S687" s="10"/>
    </row>
    <row r="688" spans="1:19" s="9" customFormat="1" ht="12.75">
      <c r="A688" s="179"/>
      <c r="B688" s="87" t="s">
        <v>713</v>
      </c>
      <c r="C688" s="37">
        <v>36</v>
      </c>
      <c r="D688" s="37"/>
      <c r="E688" s="41">
        <v>28</v>
      </c>
      <c r="F688" s="41">
        <v>3.6</v>
      </c>
      <c r="G688" s="41">
        <v>5.76</v>
      </c>
      <c r="H688" s="41">
        <v>18.1</v>
      </c>
      <c r="I688" s="47"/>
      <c r="J688" s="41">
        <v>18.1</v>
      </c>
      <c r="K688" s="40">
        <v>1951</v>
      </c>
      <c r="L688" s="39">
        <f t="shared" si="148"/>
        <v>0.009277293695540749</v>
      </c>
      <c r="M688" s="38">
        <v>234.1</v>
      </c>
      <c r="N688" s="38">
        <f t="shared" si="149"/>
        <v>2.171814454126089</v>
      </c>
      <c r="O688" s="38">
        <f t="shared" si="147"/>
        <v>556.6376217324449</v>
      </c>
      <c r="P688" s="38">
        <f t="shared" si="150"/>
        <v>130.30886724756536</v>
      </c>
      <c r="R688" s="10"/>
      <c r="S688" s="10"/>
    </row>
    <row r="689" spans="1:19" s="9" customFormat="1" ht="12.75" customHeight="1">
      <c r="A689" s="179"/>
      <c r="B689" s="134" t="s">
        <v>175</v>
      </c>
      <c r="C689" s="135">
        <v>11</v>
      </c>
      <c r="D689" s="37" t="s">
        <v>31</v>
      </c>
      <c r="E689" s="127">
        <v>4.81</v>
      </c>
      <c r="F689" s="127">
        <v>0</v>
      </c>
      <c r="G689" s="127">
        <v>0</v>
      </c>
      <c r="H689" s="127">
        <v>4.81</v>
      </c>
      <c r="I689" s="135">
        <v>516.55</v>
      </c>
      <c r="J689" s="127">
        <v>4.81</v>
      </c>
      <c r="K689" s="135">
        <v>516.55</v>
      </c>
      <c r="L689" s="39">
        <f t="shared" si="148"/>
        <v>0.009311780079372762</v>
      </c>
      <c r="M689" s="38">
        <v>256</v>
      </c>
      <c r="N689" s="38">
        <f t="shared" si="149"/>
        <v>2.383815700319427</v>
      </c>
      <c r="O689" s="38">
        <f t="shared" si="147"/>
        <v>558.7068047623658</v>
      </c>
      <c r="P689" s="38">
        <f t="shared" si="150"/>
        <v>143.02894201916564</v>
      </c>
      <c r="R689" s="10"/>
      <c r="S689" s="10"/>
    </row>
    <row r="690" spans="1:19" s="9" customFormat="1" ht="12.75">
      <c r="A690" s="179"/>
      <c r="B690" s="87" t="s">
        <v>339</v>
      </c>
      <c r="C690" s="37">
        <v>13</v>
      </c>
      <c r="D690" s="37">
        <v>1958</v>
      </c>
      <c r="E690" s="41">
        <v>8.425</v>
      </c>
      <c r="F690" s="41">
        <v>0.51</v>
      </c>
      <c r="G690" s="41">
        <v>1.45</v>
      </c>
      <c r="H690" s="41">
        <v>6.465</v>
      </c>
      <c r="I690" s="40">
        <v>693.99</v>
      </c>
      <c r="J690" s="41">
        <v>2.442389</v>
      </c>
      <c r="K690" s="40">
        <v>262.18</v>
      </c>
      <c r="L690" s="39">
        <f t="shared" si="148"/>
        <v>0.009315695323823326</v>
      </c>
      <c r="M690" s="38">
        <v>247.6</v>
      </c>
      <c r="N690" s="38">
        <f t="shared" si="149"/>
        <v>2.3065661621786555</v>
      </c>
      <c r="O690" s="38">
        <f t="shared" si="147"/>
        <v>558.9417194293997</v>
      </c>
      <c r="P690" s="38">
        <f t="shared" si="150"/>
        <v>138.39396973071933</v>
      </c>
      <c r="R690" s="10"/>
      <c r="S690" s="10"/>
    </row>
    <row r="691" spans="1:19" s="9" customFormat="1" ht="13.5" customHeight="1">
      <c r="A691" s="179"/>
      <c r="B691" s="87" t="s">
        <v>109</v>
      </c>
      <c r="C691" s="37">
        <v>25</v>
      </c>
      <c r="D691" s="37">
        <v>1957</v>
      </c>
      <c r="E691" s="41">
        <v>14.58</v>
      </c>
      <c r="F691" s="41"/>
      <c r="G691" s="41"/>
      <c r="H691" s="41">
        <v>14.58</v>
      </c>
      <c r="I691" s="40">
        <v>1561.5</v>
      </c>
      <c r="J691" s="41">
        <f>H691/I691*K691</f>
        <v>14.580000000000002</v>
      </c>
      <c r="K691" s="40">
        <v>1561.5</v>
      </c>
      <c r="L691" s="39">
        <f t="shared" si="148"/>
        <v>0.009337175792507205</v>
      </c>
      <c r="M691" s="38">
        <v>332.56</v>
      </c>
      <c r="N691" s="38">
        <f t="shared" si="149"/>
        <v>3.105171181556196</v>
      </c>
      <c r="O691" s="38">
        <f t="shared" si="147"/>
        <v>560.2305475504323</v>
      </c>
      <c r="P691" s="38">
        <f t="shared" si="150"/>
        <v>186.31027089337178</v>
      </c>
      <c r="R691" s="10"/>
      <c r="S691" s="10"/>
    </row>
    <row r="692" spans="1:19" s="9" customFormat="1" ht="13.5" customHeight="1">
      <c r="A692" s="179"/>
      <c r="B692" s="87" t="s">
        <v>566</v>
      </c>
      <c r="C692" s="37">
        <v>9</v>
      </c>
      <c r="D692" s="37" t="s">
        <v>31</v>
      </c>
      <c r="E692" s="41">
        <f>F692+G692+H692</f>
        <v>3.7379999999999995</v>
      </c>
      <c r="F692" s="41">
        <v>1.071</v>
      </c>
      <c r="G692" s="41">
        <v>0</v>
      </c>
      <c r="H692" s="41">
        <v>2.667</v>
      </c>
      <c r="I692" s="40">
        <v>285.09</v>
      </c>
      <c r="J692" s="41">
        <v>2.667</v>
      </c>
      <c r="K692" s="40">
        <v>285.09</v>
      </c>
      <c r="L692" s="39">
        <f t="shared" si="148"/>
        <v>0.009354940545091023</v>
      </c>
      <c r="M692" s="38">
        <v>206.4</v>
      </c>
      <c r="N692" s="38">
        <f t="shared" si="149"/>
        <v>1.9308597285067872</v>
      </c>
      <c r="O692" s="38">
        <f>L692*1000*60</f>
        <v>561.2964327054615</v>
      </c>
      <c r="P692" s="38">
        <f>N692*60</f>
        <v>115.85158371040723</v>
      </c>
      <c r="R692" s="10"/>
      <c r="S692" s="10"/>
    </row>
    <row r="693" spans="1:16" s="9" customFormat="1" ht="11.25" customHeight="1">
      <c r="A693" s="179"/>
      <c r="B693" s="120" t="s">
        <v>379</v>
      </c>
      <c r="C693" s="64">
        <v>7</v>
      </c>
      <c r="D693" s="64">
        <v>1964</v>
      </c>
      <c r="E693" s="65">
        <f>F693+G693+H693</f>
        <v>2.78</v>
      </c>
      <c r="F693" s="65">
        <v>0</v>
      </c>
      <c r="G693" s="65">
        <v>0</v>
      </c>
      <c r="H693" s="65">
        <v>2.78</v>
      </c>
      <c r="I693" s="175">
        <v>1329.57</v>
      </c>
      <c r="J693" s="65">
        <v>2.78</v>
      </c>
      <c r="K693" s="175">
        <v>296.86</v>
      </c>
      <c r="L693" s="176">
        <f t="shared" si="148"/>
        <v>0.009364683689281141</v>
      </c>
      <c r="M693" s="63">
        <v>320.7</v>
      </c>
      <c r="N693" s="177">
        <f t="shared" si="149"/>
        <v>3.0032540591524617</v>
      </c>
      <c r="O693" s="177">
        <f aca="true" t="shared" si="151" ref="O693:O703">L693*60*1000</f>
        <v>561.8810213568685</v>
      </c>
      <c r="P693" s="177">
        <f>O693*M693/1000</f>
        <v>180.1952435491477</v>
      </c>
    </row>
    <row r="694" spans="1:19" s="9" customFormat="1" ht="12.75">
      <c r="A694" s="179"/>
      <c r="B694" s="87" t="s">
        <v>450</v>
      </c>
      <c r="C694" s="37">
        <v>13</v>
      </c>
      <c r="D694" s="37">
        <v>1958</v>
      </c>
      <c r="E694" s="41">
        <f>SUM(F694:H694)</f>
        <v>4.42</v>
      </c>
      <c r="F694" s="41"/>
      <c r="G694" s="41"/>
      <c r="H694" s="41">
        <v>4.42</v>
      </c>
      <c r="I694" s="40">
        <v>653.78</v>
      </c>
      <c r="J694" s="41">
        <v>4.165</v>
      </c>
      <c r="K694" s="40">
        <v>444.31</v>
      </c>
      <c r="L694" s="39">
        <f t="shared" si="148"/>
        <v>0.009374085660912426</v>
      </c>
      <c r="M694" s="38">
        <v>316.536</v>
      </c>
      <c r="N694" s="38">
        <f t="shared" si="149"/>
        <v>2.9672355787625757</v>
      </c>
      <c r="O694" s="38">
        <f t="shared" si="151"/>
        <v>562.4451396547456</v>
      </c>
      <c r="P694" s="38">
        <f>O694*M694/1000</f>
        <v>178.03413472575457</v>
      </c>
      <c r="R694" s="10"/>
      <c r="S694" s="10"/>
    </row>
    <row r="695" spans="1:19" s="9" customFormat="1" ht="12.75">
      <c r="A695" s="179"/>
      <c r="B695" s="119" t="s">
        <v>867</v>
      </c>
      <c r="C695" s="64">
        <v>5</v>
      </c>
      <c r="D695" s="64" t="s">
        <v>31</v>
      </c>
      <c r="E695" s="41">
        <v>3.15</v>
      </c>
      <c r="F695" s="41">
        <f>5.58*0.051</f>
        <v>0.28458</v>
      </c>
      <c r="G695" s="41">
        <f>5*0.16</f>
        <v>0.8</v>
      </c>
      <c r="H695" s="41">
        <f>+E695-F695-G695</f>
        <v>2.0654199999999996</v>
      </c>
      <c r="I695" s="47"/>
      <c r="J695" s="41">
        <f>+H695</f>
        <v>2.0654199999999996</v>
      </c>
      <c r="K695" s="40">
        <v>220.11</v>
      </c>
      <c r="L695" s="39">
        <f t="shared" si="148"/>
        <v>0.009383580936804322</v>
      </c>
      <c r="M695" s="38">
        <v>347.8</v>
      </c>
      <c r="N695" s="38">
        <f t="shared" si="149"/>
        <v>3.2636094498205432</v>
      </c>
      <c r="O695" s="38">
        <f t="shared" si="151"/>
        <v>563.0148562082593</v>
      </c>
      <c r="P695" s="38">
        <f>O695*M695/1000</f>
        <v>195.81656698923257</v>
      </c>
      <c r="R695" s="10"/>
      <c r="S695" s="10"/>
    </row>
    <row r="696" spans="1:19" s="9" customFormat="1" ht="12.75">
      <c r="A696" s="179"/>
      <c r="B696" s="119" t="s">
        <v>319</v>
      </c>
      <c r="C696" s="64">
        <v>8</v>
      </c>
      <c r="D696" s="64">
        <v>1962</v>
      </c>
      <c r="E696" s="65">
        <v>4.921999</v>
      </c>
      <c r="F696" s="65">
        <v>0.306</v>
      </c>
      <c r="G696" s="65">
        <v>1.2</v>
      </c>
      <c r="H696" s="65">
        <v>3.415999</v>
      </c>
      <c r="I696" s="175">
        <v>363.26</v>
      </c>
      <c r="J696" s="65">
        <v>2.347547</v>
      </c>
      <c r="K696" s="175">
        <v>249.64</v>
      </c>
      <c r="L696" s="138">
        <v>0.009403</v>
      </c>
      <c r="M696" s="63">
        <v>281.7</v>
      </c>
      <c r="N696" s="177">
        <f>L696*M696*1.09</f>
        <v>2.887219359</v>
      </c>
      <c r="O696" s="177">
        <f t="shared" si="151"/>
        <v>564.1800000000001</v>
      </c>
      <c r="P696" s="177">
        <f>M696*O696/1000</f>
        <v>158.92950600000003</v>
      </c>
      <c r="R696" s="10"/>
      <c r="S696" s="10"/>
    </row>
    <row r="697" spans="1:19" s="9" customFormat="1" ht="12.75">
      <c r="A697" s="179"/>
      <c r="B697" s="87" t="s">
        <v>714</v>
      </c>
      <c r="C697" s="37">
        <v>20</v>
      </c>
      <c r="D697" s="37"/>
      <c r="E697" s="41">
        <v>15.7</v>
      </c>
      <c r="F697" s="41">
        <v>2.4</v>
      </c>
      <c r="G697" s="41">
        <v>3.2</v>
      </c>
      <c r="H697" s="41">
        <v>10.1</v>
      </c>
      <c r="I697" s="47"/>
      <c r="J697" s="41">
        <v>10.1</v>
      </c>
      <c r="K697" s="40">
        <v>1071</v>
      </c>
      <c r="L697" s="39">
        <f>J697/K697</f>
        <v>0.009430438842203548</v>
      </c>
      <c r="M697" s="38">
        <v>234.1</v>
      </c>
      <c r="N697" s="38">
        <f>L697*M697</f>
        <v>2.2076657329598506</v>
      </c>
      <c r="O697" s="38">
        <f t="shared" si="151"/>
        <v>565.8263305322129</v>
      </c>
      <c r="P697" s="38">
        <f>O697*M697/1000</f>
        <v>132.45994397759102</v>
      </c>
      <c r="R697" s="10"/>
      <c r="S697" s="10"/>
    </row>
    <row r="698" spans="1:19" s="9" customFormat="1" ht="12.75">
      <c r="A698" s="179"/>
      <c r="B698" s="87" t="s">
        <v>715</v>
      </c>
      <c r="C698" s="37">
        <v>20</v>
      </c>
      <c r="D698" s="37"/>
      <c r="E698" s="41">
        <v>16.2</v>
      </c>
      <c r="F698" s="41">
        <v>3.2</v>
      </c>
      <c r="G698" s="41">
        <v>3.2</v>
      </c>
      <c r="H698" s="41">
        <v>9.8</v>
      </c>
      <c r="I698" s="47"/>
      <c r="J698" s="41">
        <v>9.8</v>
      </c>
      <c r="K698" s="40">
        <v>1039</v>
      </c>
      <c r="L698" s="39">
        <f>J698/K698</f>
        <v>0.009432146294513957</v>
      </c>
      <c r="M698" s="38">
        <v>234.1</v>
      </c>
      <c r="N698" s="38">
        <f>L698*M698</f>
        <v>2.2080654475457173</v>
      </c>
      <c r="O698" s="38">
        <f t="shared" si="151"/>
        <v>565.9287776708375</v>
      </c>
      <c r="P698" s="38">
        <f>O698*M698/1000</f>
        <v>132.48392685274305</v>
      </c>
      <c r="R698" s="10"/>
      <c r="S698" s="10"/>
    </row>
    <row r="699" spans="1:19" s="9" customFormat="1" ht="12.75">
      <c r="A699" s="179"/>
      <c r="B699" s="87" t="s">
        <v>732</v>
      </c>
      <c r="C699" s="37">
        <v>10</v>
      </c>
      <c r="D699" s="37">
        <v>1978</v>
      </c>
      <c r="E699" s="41">
        <v>7.64</v>
      </c>
      <c r="F699" s="41">
        <v>0.84</v>
      </c>
      <c r="G699" s="41">
        <v>1.6</v>
      </c>
      <c r="H699" s="41">
        <v>5.2</v>
      </c>
      <c r="I699" s="40">
        <v>551.02</v>
      </c>
      <c r="J699" s="41">
        <v>5.2</v>
      </c>
      <c r="K699" s="40">
        <v>551</v>
      </c>
      <c r="L699" s="39">
        <f>J699/K699</f>
        <v>0.009437386569872959</v>
      </c>
      <c r="M699" s="38">
        <v>194.3</v>
      </c>
      <c r="N699" s="38">
        <f>L699*M699</f>
        <v>1.833684210526316</v>
      </c>
      <c r="O699" s="38">
        <f t="shared" si="151"/>
        <v>566.2431941923776</v>
      </c>
      <c r="P699" s="38">
        <f>O699*M699/1000</f>
        <v>110.02105263157898</v>
      </c>
      <c r="R699" s="10"/>
      <c r="S699" s="10"/>
    </row>
    <row r="700" spans="1:19" s="9" customFormat="1" ht="12.75" customHeight="1">
      <c r="A700" s="179"/>
      <c r="B700" s="87" t="s">
        <v>831</v>
      </c>
      <c r="C700" s="37">
        <v>12</v>
      </c>
      <c r="D700" s="37">
        <v>1962</v>
      </c>
      <c r="E700" s="41">
        <f>SUM(F700+G700+H700)</f>
        <v>7.6</v>
      </c>
      <c r="F700" s="41">
        <v>0.7</v>
      </c>
      <c r="G700" s="41">
        <v>1.8</v>
      </c>
      <c r="H700" s="41">
        <v>5.1</v>
      </c>
      <c r="I700" s="40">
        <v>538</v>
      </c>
      <c r="J700" s="41">
        <v>4.3</v>
      </c>
      <c r="K700" s="40">
        <v>451.7</v>
      </c>
      <c r="L700" s="39">
        <f>SUM(J700/K700)</f>
        <v>0.009519592649988931</v>
      </c>
      <c r="M700" s="38">
        <v>214.3</v>
      </c>
      <c r="N700" s="38">
        <f>SUM(L700*M700)</f>
        <v>2.040048704892628</v>
      </c>
      <c r="O700" s="38">
        <f t="shared" si="151"/>
        <v>571.1755589993359</v>
      </c>
      <c r="P700" s="38">
        <f>SUM(N700*60)</f>
        <v>122.40292229355768</v>
      </c>
      <c r="R700" s="10"/>
      <c r="S700" s="10"/>
    </row>
    <row r="701" spans="1:19" s="9" customFormat="1" ht="12.75">
      <c r="A701" s="179"/>
      <c r="B701" s="87" t="s">
        <v>650</v>
      </c>
      <c r="C701" s="37">
        <v>24</v>
      </c>
      <c r="D701" s="37" t="s">
        <v>31</v>
      </c>
      <c r="E701" s="41">
        <f>SUM(F701:H701)</f>
        <v>9.9</v>
      </c>
      <c r="F701" s="41">
        <v>0.9</v>
      </c>
      <c r="G701" s="41">
        <v>0.2</v>
      </c>
      <c r="H701" s="41">
        <v>8.8</v>
      </c>
      <c r="I701" s="40">
        <v>924.4</v>
      </c>
      <c r="J701" s="41">
        <v>8.8</v>
      </c>
      <c r="K701" s="40">
        <v>924.4</v>
      </c>
      <c r="L701" s="176">
        <f>J701/K701</f>
        <v>0.009519688446559932</v>
      </c>
      <c r="M701" s="63">
        <v>209.8</v>
      </c>
      <c r="N701" s="177">
        <f>L701*M701</f>
        <v>1.9972306360882737</v>
      </c>
      <c r="O701" s="177">
        <f t="shared" si="151"/>
        <v>571.1813067935959</v>
      </c>
      <c r="P701" s="177">
        <f>O701*M701/1000</f>
        <v>119.83383816529643</v>
      </c>
      <c r="R701" s="10"/>
      <c r="S701" s="10"/>
    </row>
    <row r="702" spans="1:19" s="9" customFormat="1" ht="12.75">
      <c r="A702" s="179"/>
      <c r="B702" s="119" t="s">
        <v>486</v>
      </c>
      <c r="C702" s="64">
        <v>29</v>
      </c>
      <c r="D702" s="64">
        <v>1977</v>
      </c>
      <c r="E702" s="65">
        <v>18.467</v>
      </c>
      <c r="F702" s="65">
        <v>2.80908</v>
      </c>
      <c r="G702" s="65">
        <v>4.64</v>
      </c>
      <c r="H702" s="65">
        <v>11.01792</v>
      </c>
      <c r="I702" s="175">
        <v>1154.83</v>
      </c>
      <c r="J702" s="65">
        <v>11.02</v>
      </c>
      <c r="K702" s="175">
        <v>1154.83</v>
      </c>
      <c r="L702" s="176">
        <f>J702/K702</f>
        <v>0.009542530069360858</v>
      </c>
      <c r="M702" s="63">
        <v>329.943</v>
      </c>
      <c r="N702" s="177">
        <f>L702*M702</f>
        <v>3.1484909986751295</v>
      </c>
      <c r="O702" s="177">
        <f t="shared" si="151"/>
        <v>572.5518041616515</v>
      </c>
      <c r="P702" s="177">
        <f>O702*M702/1000</f>
        <v>188.90945992050777</v>
      </c>
      <c r="R702" s="10"/>
      <c r="S702" s="10"/>
    </row>
    <row r="703" spans="1:19" s="9" customFormat="1" ht="12.75" customHeight="1">
      <c r="A703" s="179"/>
      <c r="B703" s="91" t="s">
        <v>763</v>
      </c>
      <c r="C703" s="37">
        <v>8</v>
      </c>
      <c r="D703" s="37" t="s">
        <v>31</v>
      </c>
      <c r="E703" s="41">
        <f>F703+G703+H703</f>
        <v>5</v>
      </c>
      <c r="F703" s="41">
        <v>0.324</v>
      </c>
      <c r="G703" s="41">
        <v>1.2</v>
      </c>
      <c r="H703" s="41">
        <v>3.476</v>
      </c>
      <c r="I703" s="40">
        <v>362.86</v>
      </c>
      <c r="J703" s="41">
        <v>3.016</v>
      </c>
      <c r="K703" s="40">
        <v>314.87</v>
      </c>
      <c r="L703" s="39">
        <f>J703/K703</f>
        <v>0.009578556229555054</v>
      </c>
      <c r="M703" s="37">
        <v>361.99</v>
      </c>
      <c r="N703" s="38">
        <f>L703*M703</f>
        <v>3.467341569536634</v>
      </c>
      <c r="O703" s="38">
        <f t="shared" si="151"/>
        <v>574.7133737733033</v>
      </c>
      <c r="P703" s="38">
        <f>O703*M703/1000</f>
        <v>208.04049417219807</v>
      </c>
      <c r="R703" s="10"/>
      <c r="S703" s="10"/>
    </row>
    <row r="704" spans="1:19" s="9" customFormat="1" ht="12.75">
      <c r="A704" s="179"/>
      <c r="B704" s="87" t="s">
        <v>592</v>
      </c>
      <c r="C704" s="37">
        <v>20</v>
      </c>
      <c r="D704" s="37">
        <v>1994</v>
      </c>
      <c r="E704" s="41">
        <v>15.2</v>
      </c>
      <c r="F704" s="41">
        <v>1.644</v>
      </c>
      <c r="G704" s="41">
        <v>2.72</v>
      </c>
      <c r="H704" s="41">
        <f>E704-F704-G704</f>
        <v>10.835999999999999</v>
      </c>
      <c r="I704" s="40">
        <v>1127.46</v>
      </c>
      <c r="J704" s="41">
        <v>10.836</v>
      </c>
      <c r="K704" s="40">
        <v>1127.46</v>
      </c>
      <c r="L704" s="39">
        <f>J704/K704</f>
        <v>0.009610983981693364</v>
      </c>
      <c r="M704" s="38">
        <v>243.179</v>
      </c>
      <c r="N704" s="38">
        <f>L704*M704</f>
        <v>2.3371894736842105</v>
      </c>
      <c r="O704" s="38">
        <f>L704*1000*60</f>
        <v>576.6590389016019</v>
      </c>
      <c r="P704" s="38">
        <f>N704*60</f>
        <v>140.23136842105262</v>
      </c>
      <c r="R704" s="10"/>
      <c r="S704" s="10"/>
    </row>
    <row r="705" spans="1:25" s="9" customFormat="1" ht="12.75">
      <c r="A705" s="179"/>
      <c r="B705" s="87" t="s">
        <v>832</v>
      </c>
      <c r="C705" s="37">
        <v>28</v>
      </c>
      <c r="D705" s="37">
        <v>1998</v>
      </c>
      <c r="E705" s="41">
        <f>SUM(F705+G705+H705)</f>
        <v>18.4</v>
      </c>
      <c r="F705" s="41">
        <v>2.1</v>
      </c>
      <c r="G705" s="41">
        <v>4.4</v>
      </c>
      <c r="H705" s="41">
        <v>11.9</v>
      </c>
      <c r="I705" s="40">
        <v>1228.24</v>
      </c>
      <c r="J705" s="41">
        <v>11.9</v>
      </c>
      <c r="K705" s="40">
        <v>1228.2</v>
      </c>
      <c r="L705" s="39">
        <f>SUM(J705/K705)</f>
        <v>0.009688975736850675</v>
      </c>
      <c r="M705" s="38">
        <v>214.3</v>
      </c>
      <c r="N705" s="38">
        <f>SUM(L705*M705)</f>
        <v>2.0763475004071</v>
      </c>
      <c r="O705" s="38">
        <f>L705*60*1000</f>
        <v>581.3385442110405</v>
      </c>
      <c r="P705" s="38">
        <f>SUM(N705*60)</f>
        <v>124.580850024426</v>
      </c>
      <c r="Q705" s="10"/>
      <c r="R705" s="10"/>
      <c r="S705" s="10"/>
      <c r="T705" s="12"/>
      <c r="U705" s="13"/>
      <c r="V705" s="13"/>
      <c r="W705" s="14"/>
      <c r="X705" s="14"/>
      <c r="Y705" s="14"/>
    </row>
    <row r="706" spans="1:19" s="9" customFormat="1" ht="12.75">
      <c r="A706" s="179"/>
      <c r="B706" s="119" t="s">
        <v>487</v>
      </c>
      <c r="C706" s="64">
        <v>27</v>
      </c>
      <c r="D706" s="64">
        <v>1960</v>
      </c>
      <c r="E706" s="65">
        <v>14.344</v>
      </c>
      <c r="F706" s="65">
        <v>1.34691</v>
      </c>
      <c r="G706" s="65">
        <v>3.27</v>
      </c>
      <c r="H706" s="65">
        <v>9.72709</v>
      </c>
      <c r="I706" s="175">
        <v>1144.99</v>
      </c>
      <c r="J706" s="65">
        <v>9.73</v>
      </c>
      <c r="K706" s="175">
        <v>1004.2</v>
      </c>
      <c r="L706" s="176">
        <f>J706/K706</f>
        <v>0.009689304919338776</v>
      </c>
      <c r="M706" s="63">
        <v>329.943</v>
      </c>
      <c r="N706" s="177">
        <f>L706*M706</f>
        <v>3.1969183330013937</v>
      </c>
      <c r="O706" s="177">
        <f>L706*60*1000</f>
        <v>581.3582951603265</v>
      </c>
      <c r="P706" s="177">
        <f>O706*M706/1000</f>
        <v>191.8150999800836</v>
      </c>
      <c r="R706" s="10"/>
      <c r="S706" s="10"/>
    </row>
    <row r="707" spans="1:19" s="9" customFormat="1" ht="11.25" customHeight="1">
      <c r="A707" s="179"/>
      <c r="B707" s="119" t="s">
        <v>380</v>
      </c>
      <c r="C707" s="64">
        <v>14</v>
      </c>
      <c r="D707" s="64">
        <v>1969</v>
      </c>
      <c r="E707" s="65">
        <f>F707+G707+H707</f>
        <v>9.2</v>
      </c>
      <c r="F707" s="65">
        <v>0.99</v>
      </c>
      <c r="G707" s="65">
        <v>0.35</v>
      </c>
      <c r="H707" s="65">
        <v>7.86</v>
      </c>
      <c r="I707" s="175">
        <v>500.78</v>
      </c>
      <c r="J707" s="65">
        <v>4.86</v>
      </c>
      <c r="K707" s="175">
        <v>500.78</v>
      </c>
      <c r="L707" s="176">
        <f>J707/K707</f>
        <v>0.009704860417748314</v>
      </c>
      <c r="M707" s="63">
        <v>320.7</v>
      </c>
      <c r="N707" s="177">
        <f>L707*M707</f>
        <v>3.112348735971884</v>
      </c>
      <c r="O707" s="177">
        <f>L707*60*1000</f>
        <v>582.2916250648989</v>
      </c>
      <c r="P707" s="177">
        <f>O707*M707/1000</f>
        <v>186.74092415831308</v>
      </c>
      <c r="R707" s="10"/>
      <c r="S707" s="10"/>
    </row>
    <row r="708" spans="1:19" s="9" customFormat="1" ht="12.75">
      <c r="A708" s="179"/>
      <c r="B708" s="87" t="s">
        <v>65</v>
      </c>
      <c r="C708" s="37">
        <v>7</v>
      </c>
      <c r="D708" s="37" t="s">
        <v>31</v>
      </c>
      <c r="E708" s="41">
        <v>4.444</v>
      </c>
      <c r="F708" s="41">
        <v>1.342</v>
      </c>
      <c r="G708" s="41">
        <v>0</v>
      </c>
      <c r="H708" s="41">
        <v>3.101999</v>
      </c>
      <c r="I708" s="40">
        <v>355.81</v>
      </c>
      <c r="J708" s="41">
        <f>H708</f>
        <v>3.101999</v>
      </c>
      <c r="K708" s="40">
        <v>318.95</v>
      </c>
      <c r="L708" s="39">
        <f>J708/K708</f>
        <v>0.009725659194231072</v>
      </c>
      <c r="M708" s="38">
        <v>307.38</v>
      </c>
      <c r="N708" s="38">
        <f>L708*M708</f>
        <v>2.989473123122747</v>
      </c>
      <c r="O708" s="38">
        <f>L708*60*1000</f>
        <v>583.5395516538642</v>
      </c>
      <c r="P708" s="38">
        <f>N708*60</f>
        <v>179.3683873873648</v>
      </c>
      <c r="R708" s="10"/>
      <c r="S708" s="10"/>
    </row>
    <row r="709" spans="1:19" s="9" customFormat="1" ht="12.75" customHeight="1">
      <c r="A709" s="179"/>
      <c r="B709" s="119" t="s">
        <v>320</v>
      </c>
      <c r="C709" s="64">
        <v>9</v>
      </c>
      <c r="D709" s="64">
        <v>1965</v>
      </c>
      <c r="E709" s="65">
        <v>4.778001</v>
      </c>
      <c r="F709" s="65">
        <v>0.816</v>
      </c>
      <c r="G709" s="65">
        <v>0.07</v>
      </c>
      <c r="H709" s="65">
        <v>3.892001</v>
      </c>
      <c r="I709" s="175">
        <v>399.34</v>
      </c>
      <c r="J709" s="65">
        <v>3.892001</v>
      </c>
      <c r="K709" s="175">
        <v>399.34</v>
      </c>
      <c r="L709" s="138">
        <v>0.009746</v>
      </c>
      <c r="M709" s="63">
        <v>281.7</v>
      </c>
      <c r="N709" s="177">
        <f>L709*M709*1.09</f>
        <v>2.992538538</v>
      </c>
      <c r="O709" s="177">
        <f>L709*60*1000</f>
        <v>584.76</v>
      </c>
      <c r="P709" s="177">
        <f>M709*O709/1000</f>
        <v>164.726892</v>
      </c>
      <c r="R709" s="10"/>
      <c r="S709" s="10"/>
    </row>
    <row r="710" spans="1:19" s="9" customFormat="1" ht="11.25" customHeight="1">
      <c r="A710" s="179"/>
      <c r="B710" s="87" t="s">
        <v>567</v>
      </c>
      <c r="C710" s="37">
        <v>12</v>
      </c>
      <c r="D710" s="37" t="s">
        <v>31</v>
      </c>
      <c r="E710" s="41">
        <f>F710+G710+H710</f>
        <v>6.5481</v>
      </c>
      <c r="F710" s="41">
        <v>1.375</v>
      </c>
      <c r="G710" s="41">
        <v>0</v>
      </c>
      <c r="H710" s="41">
        <v>5.1731</v>
      </c>
      <c r="I710" s="40">
        <v>529.6</v>
      </c>
      <c r="J710" s="41">
        <v>5.1731</v>
      </c>
      <c r="K710" s="40">
        <v>529.6</v>
      </c>
      <c r="L710" s="39">
        <f aca="true" t="shared" si="152" ref="L710:L726">J710/K710</f>
        <v>0.009767938066465255</v>
      </c>
      <c r="M710" s="38">
        <v>206.4</v>
      </c>
      <c r="N710" s="38">
        <f aca="true" t="shared" si="153" ref="N710:N726">L710*M710</f>
        <v>2.0161024169184287</v>
      </c>
      <c r="O710" s="38">
        <f>L710*1000*60</f>
        <v>586.0762839879153</v>
      </c>
      <c r="P710" s="38">
        <f>N710*60</f>
        <v>120.96614501510572</v>
      </c>
      <c r="R710" s="10"/>
      <c r="S710" s="10"/>
    </row>
    <row r="711" spans="1:19" s="9" customFormat="1" ht="12.75" customHeight="1">
      <c r="A711" s="179"/>
      <c r="B711" s="87" t="s">
        <v>529</v>
      </c>
      <c r="C711" s="40">
        <v>10</v>
      </c>
      <c r="D711" s="37" t="s">
        <v>31</v>
      </c>
      <c r="E711" s="41">
        <f>F711+G711+H711</f>
        <v>7.153742</v>
      </c>
      <c r="F711" s="41">
        <v>0.459</v>
      </c>
      <c r="G711" s="41">
        <v>1.52</v>
      </c>
      <c r="H711" s="41">
        <v>5.174742</v>
      </c>
      <c r="I711" s="40">
        <v>528.57</v>
      </c>
      <c r="J711" s="41">
        <v>5.174743</v>
      </c>
      <c r="K711" s="40">
        <v>528.57</v>
      </c>
      <c r="L711" s="39">
        <f t="shared" si="152"/>
        <v>0.009790080784002118</v>
      </c>
      <c r="M711" s="38">
        <v>221.4</v>
      </c>
      <c r="N711" s="38">
        <f t="shared" si="153"/>
        <v>2.167523885578069</v>
      </c>
      <c r="O711" s="38">
        <f aca="true" t="shared" si="154" ref="O711:O719">L711*60*1000</f>
        <v>587.404847040127</v>
      </c>
      <c r="P711" s="38">
        <f aca="true" t="shared" si="155" ref="P711:P719">O711*M711/1000</f>
        <v>130.05143313468415</v>
      </c>
      <c r="R711" s="10"/>
      <c r="S711" s="10"/>
    </row>
    <row r="712" spans="1:19" s="9" customFormat="1" ht="12.75" customHeight="1">
      <c r="A712" s="179"/>
      <c r="B712" s="87" t="s">
        <v>110</v>
      </c>
      <c r="C712" s="37">
        <v>20</v>
      </c>
      <c r="D712" s="37">
        <v>1959</v>
      </c>
      <c r="E712" s="41">
        <v>12.8</v>
      </c>
      <c r="F712" s="41">
        <v>3.14</v>
      </c>
      <c r="G712" s="41"/>
      <c r="H712" s="41">
        <f>E712-F712-G712</f>
        <v>9.66</v>
      </c>
      <c r="I712" s="40">
        <v>985.4</v>
      </c>
      <c r="J712" s="41">
        <f>H712/I712*K712</f>
        <v>9.66</v>
      </c>
      <c r="K712" s="40">
        <v>985.4</v>
      </c>
      <c r="L712" s="39">
        <f t="shared" si="152"/>
        <v>0.0098031256342602</v>
      </c>
      <c r="M712" s="38">
        <v>332.56</v>
      </c>
      <c r="N712" s="38">
        <f t="shared" si="153"/>
        <v>3.260127460929572</v>
      </c>
      <c r="O712" s="38">
        <f t="shared" si="154"/>
        <v>588.187538055612</v>
      </c>
      <c r="P712" s="38">
        <f t="shared" si="155"/>
        <v>195.60764765577431</v>
      </c>
      <c r="R712" s="10"/>
      <c r="S712" s="10"/>
    </row>
    <row r="713" spans="1:19" s="9" customFormat="1" ht="12.75" customHeight="1">
      <c r="A713" s="179"/>
      <c r="B713" s="119" t="s">
        <v>488</v>
      </c>
      <c r="C713" s="64">
        <v>51</v>
      </c>
      <c r="D713" s="64">
        <v>1986</v>
      </c>
      <c r="E713" s="65">
        <v>28.307</v>
      </c>
      <c r="F713" s="65">
        <v>3.382575</v>
      </c>
      <c r="G713" s="65">
        <v>6.79</v>
      </c>
      <c r="H713" s="65">
        <v>18.134425</v>
      </c>
      <c r="I713" s="175">
        <v>1842.82</v>
      </c>
      <c r="J713" s="65">
        <v>18.13</v>
      </c>
      <c r="K713" s="175">
        <v>1842.82</v>
      </c>
      <c r="L713" s="176">
        <f t="shared" si="152"/>
        <v>0.00983818278507939</v>
      </c>
      <c r="M713" s="63">
        <v>329.943</v>
      </c>
      <c r="N713" s="177">
        <f t="shared" si="153"/>
        <v>3.246039542657449</v>
      </c>
      <c r="O713" s="177">
        <f t="shared" si="154"/>
        <v>590.2909671047634</v>
      </c>
      <c r="P713" s="177">
        <f t="shared" si="155"/>
        <v>194.76237255944693</v>
      </c>
      <c r="R713" s="10"/>
      <c r="S713" s="10"/>
    </row>
    <row r="714" spans="1:19" s="9" customFormat="1" ht="12.75" customHeight="1">
      <c r="A714" s="179"/>
      <c r="B714" s="119" t="s">
        <v>489</v>
      </c>
      <c r="C714" s="64">
        <v>20</v>
      </c>
      <c r="D714" s="64">
        <v>1980</v>
      </c>
      <c r="E714" s="65">
        <v>12.215</v>
      </c>
      <c r="F714" s="65">
        <v>1.58049</v>
      </c>
      <c r="G714" s="65">
        <v>3.2</v>
      </c>
      <c r="H714" s="65">
        <v>7.43451</v>
      </c>
      <c r="I714" s="175">
        <v>750.77</v>
      </c>
      <c r="J714" s="65">
        <v>6.7</v>
      </c>
      <c r="K714" s="175">
        <v>676.71</v>
      </c>
      <c r="L714" s="176">
        <f t="shared" si="152"/>
        <v>0.009900843788328825</v>
      </c>
      <c r="M714" s="63">
        <v>329.943</v>
      </c>
      <c r="N714" s="177">
        <f t="shared" si="153"/>
        <v>3.2667141020525774</v>
      </c>
      <c r="O714" s="177">
        <f t="shared" si="154"/>
        <v>594.0506272997295</v>
      </c>
      <c r="P714" s="177">
        <f t="shared" si="155"/>
        <v>196.00284612315465</v>
      </c>
      <c r="R714" s="10"/>
      <c r="S714" s="10"/>
    </row>
    <row r="715" spans="1:19" s="9" customFormat="1" ht="12.75" customHeight="1">
      <c r="A715" s="179"/>
      <c r="B715" s="134" t="s">
        <v>176</v>
      </c>
      <c r="C715" s="135">
        <v>30</v>
      </c>
      <c r="D715" s="37" t="s">
        <v>31</v>
      </c>
      <c r="E715" s="127">
        <v>13.77</v>
      </c>
      <c r="F715" s="127">
        <v>1.94</v>
      </c>
      <c r="G715" s="127">
        <v>0.3</v>
      </c>
      <c r="H715" s="127">
        <v>11.53</v>
      </c>
      <c r="I715" s="135" t="s">
        <v>156</v>
      </c>
      <c r="J715" s="127">
        <v>10.87</v>
      </c>
      <c r="K715" s="135">
        <v>1096.68</v>
      </c>
      <c r="L715" s="39">
        <f t="shared" si="152"/>
        <v>0.009911733595944121</v>
      </c>
      <c r="M715" s="38">
        <v>256</v>
      </c>
      <c r="N715" s="38">
        <f t="shared" si="153"/>
        <v>2.537403800561695</v>
      </c>
      <c r="O715" s="38">
        <f t="shared" si="154"/>
        <v>594.7040157566472</v>
      </c>
      <c r="P715" s="38">
        <f t="shared" si="155"/>
        <v>152.2442280337017</v>
      </c>
      <c r="R715" s="10"/>
      <c r="S715" s="10"/>
    </row>
    <row r="716" spans="1:19" s="9" customFormat="1" ht="12.75" customHeight="1">
      <c r="A716" s="179"/>
      <c r="B716" s="87" t="s">
        <v>616</v>
      </c>
      <c r="C716" s="37">
        <v>14</v>
      </c>
      <c r="D716" s="37">
        <v>1969</v>
      </c>
      <c r="E716" s="41">
        <v>9.686</v>
      </c>
      <c r="F716" s="41">
        <v>0.988</v>
      </c>
      <c r="G716" s="41">
        <v>1.573</v>
      </c>
      <c r="H716" s="41">
        <v>7.12</v>
      </c>
      <c r="I716" s="40">
        <v>715.98</v>
      </c>
      <c r="J716" s="41">
        <v>7.12</v>
      </c>
      <c r="K716" s="40">
        <v>715.98</v>
      </c>
      <c r="L716" s="39">
        <f t="shared" si="152"/>
        <v>0.00994441185507975</v>
      </c>
      <c r="M716" s="38">
        <v>210.7</v>
      </c>
      <c r="N716" s="38">
        <f t="shared" si="153"/>
        <v>2.095287577865303</v>
      </c>
      <c r="O716" s="38">
        <f t="shared" si="154"/>
        <v>596.6647113047851</v>
      </c>
      <c r="P716" s="38">
        <f t="shared" si="155"/>
        <v>125.71725467191821</v>
      </c>
      <c r="R716" s="10"/>
      <c r="S716" s="10"/>
    </row>
    <row r="717" spans="1:19" s="9" customFormat="1" ht="12.75" customHeight="1">
      <c r="A717" s="179"/>
      <c r="B717" s="87" t="s">
        <v>150</v>
      </c>
      <c r="C717" s="37">
        <v>31</v>
      </c>
      <c r="D717" s="37">
        <v>1967</v>
      </c>
      <c r="E717" s="41">
        <v>30.011</v>
      </c>
      <c r="F717" s="41">
        <v>10.675</v>
      </c>
      <c r="G717" s="41">
        <v>5.77</v>
      </c>
      <c r="H717" s="41">
        <f>E717-F717-G717</f>
        <v>13.565999999999999</v>
      </c>
      <c r="I717" s="40">
        <v>1363.17</v>
      </c>
      <c r="J717" s="41">
        <f>H717</f>
        <v>13.565999999999999</v>
      </c>
      <c r="K717" s="40">
        <f>I717</f>
        <v>1363.17</v>
      </c>
      <c r="L717" s="39">
        <f t="shared" si="152"/>
        <v>0.009951803516802745</v>
      </c>
      <c r="M717" s="38">
        <v>288.2</v>
      </c>
      <c r="N717" s="38">
        <f t="shared" si="153"/>
        <v>2.868109773542551</v>
      </c>
      <c r="O717" s="38">
        <f t="shared" si="154"/>
        <v>597.1082110081647</v>
      </c>
      <c r="P717" s="38">
        <f t="shared" si="155"/>
        <v>172.08658641255306</v>
      </c>
      <c r="R717" s="10"/>
      <c r="S717" s="10"/>
    </row>
    <row r="718" spans="1:19" s="9" customFormat="1" ht="12.75" customHeight="1">
      <c r="A718" s="179"/>
      <c r="B718" s="87" t="s">
        <v>733</v>
      </c>
      <c r="C718" s="37">
        <v>15</v>
      </c>
      <c r="D718" s="37">
        <v>1983</v>
      </c>
      <c r="E718" s="41">
        <v>9.846</v>
      </c>
      <c r="F718" s="41">
        <v>1.232</v>
      </c>
      <c r="G718" s="41">
        <v>2.4</v>
      </c>
      <c r="H718" s="41">
        <v>6.214</v>
      </c>
      <c r="I718" s="40">
        <v>622.54</v>
      </c>
      <c r="J718" s="41">
        <v>6.214</v>
      </c>
      <c r="K718" s="40">
        <v>622.54</v>
      </c>
      <c r="L718" s="39">
        <f t="shared" si="152"/>
        <v>0.009981687923667557</v>
      </c>
      <c r="M718" s="38">
        <v>194.3</v>
      </c>
      <c r="N718" s="38">
        <f t="shared" si="153"/>
        <v>1.9394419635686064</v>
      </c>
      <c r="O718" s="38">
        <f t="shared" si="154"/>
        <v>598.9012754200535</v>
      </c>
      <c r="P718" s="38">
        <f t="shared" si="155"/>
        <v>116.36651781411639</v>
      </c>
      <c r="R718" s="10"/>
      <c r="S718" s="10"/>
    </row>
    <row r="719" spans="1:19" s="9" customFormat="1" ht="12.75">
      <c r="A719" s="179"/>
      <c r="B719" s="119" t="s">
        <v>272</v>
      </c>
      <c r="C719" s="64">
        <v>4</v>
      </c>
      <c r="D719" s="64">
        <v>1947</v>
      </c>
      <c r="E719" s="41">
        <v>3.957</v>
      </c>
      <c r="F719" s="41">
        <v>0.663</v>
      </c>
      <c r="G719" s="41">
        <v>0.72</v>
      </c>
      <c r="H719" s="41">
        <v>2.574</v>
      </c>
      <c r="I719" s="40">
        <v>256.84</v>
      </c>
      <c r="J719" s="41">
        <v>2.24</v>
      </c>
      <c r="K719" s="40">
        <v>224.01</v>
      </c>
      <c r="L719" s="39">
        <f t="shared" si="152"/>
        <v>0.00999955359135753</v>
      </c>
      <c r="M719" s="38">
        <v>343.459</v>
      </c>
      <c r="N719" s="38">
        <f t="shared" si="153"/>
        <v>3.434436676934066</v>
      </c>
      <c r="O719" s="38">
        <f t="shared" si="154"/>
        <v>599.9732154814518</v>
      </c>
      <c r="P719" s="38">
        <f t="shared" si="155"/>
        <v>206.06620061604397</v>
      </c>
      <c r="R719" s="10"/>
      <c r="S719" s="10"/>
    </row>
    <row r="720" spans="1:25" s="9" customFormat="1" ht="12.75">
      <c r="A720" s="179"/>
      <c r="B720" s="87" t="s">
        <v>568</v>
      </c>
      <c r="C720" s="37">
        <v>5</v>
      </c>
      <c r="D720" s="37" t="s">
        <v>31</v>
      </c>
      <c r="E720" s="41">
        <f>F720+G720+H720</f>
        <v>4.26</v>
      </c>
      <c r="F720" s="41">
        <v>0.6026</v>
      </c>
      <c r="G720" s="41">
        <v>0.8</v>
      </c>
      <c r="H720" s="41">
        <v>2.8574</v>
      </c>
      <c r="I720" s="40">
        <v>285.14</v>
      </c>
      <c r="J720" s="41">
        <v>2.8574</v>
      </c>
      <c r="K720" s="40">
        <v>285.14</v>
      </c>
      <c r="L720" s="39">
        <f t="shared" si="152"/>
        <v>0.010021042295012977</v>
      </c>
      <c r="M720" s="38">
        <v>206.4</v>
      </c>
      <c r="N720" s="38">
        <f t="shared" si="153"/>
        <v>2.0683431296906782</v>
      </c>
      <c r="O720" s="38">
        <f>L720*1000*60</f>
        <v>601.2625377007786</v>
      </c>
      <c r="P720" s="38">
        <f>N720*60</f>
        <v>124.1005877814407</v>
      </c>
      <c r="Q720" s="10"/>
      <c r="R720" s="10"/>
      <c r="S720" s="10"/>
      <c r="T720" s="12"/>
      <c r="U720" s="13"/>
      <c r="V720" s="13"/>
      <c r="X720" s="14"/>
      <c r="Y720" s="14"/>
    </row>
    <row r="721" spans="1:19" s="9" customFormat="1" ht="12.75">
      <c r="A721" s="179"/>
      <c r="B721" s="87" t="s">
        <v>66</v>
      </c>
      <c r="C721" s="37">
        <v>13</v>
      </c>
      <c r="D721" s="37">
        <v>1961</v>
      </c>
      <c r="E721" s="41">
        <v>5.926</v>
      </c>
      <c r="F721" s="41">
        <v>0.810675</v>
      </c>
      <c r="G721" s="41">
        <v>0.13</v>
      </c>
      <c r="H721" s="41">
        <v>4.985325</v>
      </c>
      <c r="I721" s="40">
        <v>593.01</v>
      </c>
      <c r="J721" s="41">
        <f>H721</f>
        <v>4.985325</v>
      </c>
      <c r="K721" s="40">
        <v>496.42</v>
      </c>
      <c r="L721" s="39">
        <f t="shared" si="152"/>
        <v>0.010042554691591796</v>
      </c>
      <c r="M721" s="38">
        <v>307.38</v>
      </c>
      <c r="N721" s="38">
        <f t="shared" si="153"/>
        <v>3.086880461101486</v>
      </c>
      <c r="O721" s="38">
        <f aca="true" t="shared" si="156" ref="O721:O740">L721*60*1000</f>
        <v>602.5532814955078</v>
      </c>
      <c r="P721" s="38">
        <f>N721*60</f>
        <v>185.21282766608917</v>
      </c>
      <c r="R721" s="10"/>
      <c r="S721" s="10"/>
    </row>
    <row r="722" spans="1:19" s="9" customFormat="1" ht="12.75">
      <c r="A722" s="179"/>
      <c r="B722" s="119" t="s">
        <v>490</v>
      </c>
      <c r="C722" s="64">
        <v>10</v>
      </c>
      <c r="D722" s="64">
        <v>1958</v>
      </c>
      <c r="E722" s="65">
        <v>4.4092</v>
      </c>
      <c r="F722" s="65" t="s">
        <v>451</v>
      </c>
      <c r="G722" s="65" t="s">
        <v>451</v>
      </c>
      <c r="H722" s="65">
        <v>4.4092</v>
      </c>
      <c r="I722" s="175">
        <v>439.06</v>
      </c>
      <c r="J722" s="65">
        <v>4.41</v>
      </c>
      <c r="K722" s="175">
        <v>439.06</v>
      </c>
      <c r="L722" s="176">
        <f t="shared" si="152"/>
        <v>0.010044185304969708</v>
      </c>
      <c r="M722" s="63">
        <v>329.943</v>
      </c>
      <c r="N722" s="177">
        <f t="shared" si="153"/>
        <v>3.3140086320776203</v>
      </c>
      <c r="O722" s="177">
        <f t="shared" si="156"/>
        <v>602.6511182981825</v>
      </c>
      <c r="P722" s="177">
        <f>O722*M722/1000</f>
        <v>198.8405179246572</v>
      </c>
      <c r="R722" s="10"/>
      <c r="S722" s="10"/>
    </row>
    <row r="723" spans="1:19" s="9" customFormat="1" ht="12.75">
      <c r="A723" s="179"/>
      <c r="B723" s="87" t="s">
        <v>530</v>
      </c>
      <c r="C723" s="40">
        <v>28</v>
      </c>
      <c r="D723" s="37" t="s">
        <v>31</v>
      </c>
      <c r="E723" s="41">
        <f>F723+G723+H723</f>
        <v>15.297</v>
      </c>
      <c r="F723" s="41"/>
      <c r="G723" s="41"/>
      <c r="H723" s="41">
        <v>15.297</v>
      </c>
      <c r="I723" s="40">
        <v>1512.77</v>
      </c>
      <c r="J723" s="41">
        <v>15.297</v>
      </c>
      <c r="K723" s="40">
        <v>1512.77</v>
      </c>
      <c r="L723" s="39">
        <f t="shared" si="152"/>
        <v>0.010111913906277888</v>
      </c>
      <c r="M723" s="38">
        <v>221.4</v>
      </c>
      <c r="N723" s="38">
        <f t="shared" si="153"/>
        <v>2.2387777388499246</v>
      </c>
      <c r="O723" s="38">
        <f t="shared" si="156"/>
        <v>606.7148343766733</v>
      </c>
      <c r="P723" s="38">
        <f>O723*M723/1000</f>
        <v>134.32666433099547</v>
      </c>
      <c r="R723" s="10"/>
      <c r="S723" s="10"/>
    </row>
    <row r="724" spans="1:19" s="9" customFormat="1" ht="12.75" customHeight="1">
      <c r="A724" s="179"/>
      <c r="B724" s="87" t="s">
        <v>691</v>
      </c>
      <c r="C724" s="37">
        <v>10</v>
      </c>
      <c r="D724" s="37" t="s">
        <v>692</v>
      </c>
      <c r="E724" s="41">
        <v>5.151</v>
      </c>
      <c r="F724" s="41">
        <v>1.02</v>
      </c>
      <c r="G724" s="41">
        <v>0.08</v>
      </c>
      <c r="H724" s="41">
        <v>4.051</v>
      </c>
      <c r="I724" s="47"/>
      <c r="J724" s="41">
        <f>H724</f>
        <v>4.051</v>
      </c>
      <c r="K724" s="40">
        <v>400.21</v>
      </c>
      <c r="L724" s="39">
        <f t="shared" si="152"/>
        <v>0.010122185852427476</v>
      </c>
      <c r="M724" s="38">
        <v>245.36</v>
      </c>
      <c r="N724" s="38">
        <f t="shared" si="153"/>
        <v>2.4835795207516056</v>
      </c>
      <c r="O724" s="38">
        <f t="shared" si="156"/>
        <v>607.3311511456486</v>
      </c>
      <c r="P724" s="38">
        <f>O724*M724/1000</f>
        <v>149.01477124509634</v>
      </c>
      <c r="R724" s="10"/>
      <c r="S724" s="10"/>
    </row>
    <row r="725" spans="1:19" s="9" customFormat="1" ht="12.75">
      <c r="A725" s="179"/>
      <c r="B725" s="87" t="s">
        <v>662</v>
      </c>
      <c r="C725" s="37">
        <v>51</v>
      </c>
      <c r="D725" s="37">
        <v>1973</v>
      </c>
      <c r="E725" s="41">
        <v>25.9</v>
      </c>
      <c r="F725" s="41">
        <v>3.966</v>
      </c>
      <c r="G725" s="41">
        <v>8</v>
      </c>
      <c r="H725" s="41">
        <v>13.934</v>
      </c>
      <c r="I725" s="40">
        <v>2555.25</v>
      </c>
      <c r="J725" s="41">
        <v>25.9</v>
      </c>
      <c r="K725" s="40">
        <v>2555.3</v>
      </c>
      <c r="L725" s="39">
        <f t="shared" si="152"/>
        <v>0.010135796188314483</v>
      </c>
      <c r="M725" s="38">
        <v>225</v>
      </c>
      <c r="N725" s="38">
        <f t="shared" si="153"/>
        <v>2.2805541423707587</v>
      </c>
      <c r="O725" s="38">
        <f t="shared" si="156"/>
        <v>608.147771298869</v>
      </c>
      <c r="P725" s="38">
        <f>O725*M725/1000</f>
        <v>136.8332485422455</v>
      </c>
      <c r="R725" s="10"/>
      <c r="S725" s="10"/>
    </row>
    <row r="726" spans="1:19" s="9" customFormat="1" ht="12.75">
      <c r="A726" s="179"/>
      <c r="B726" s="87" t="s">
        <v>663</v>
      </c>
      <c r="C726" s="37">
        <v>40</v>
      </c>
      <c r="D726" s="37">
        <v>1979</v>
      </c>
      <c r="E726" s="41">
        <v>22.158</v>
      </c>
      <c r="F726" s="41">
        <v>3.609</v>
      </c>
      <c r="G726" s="41">
        <v>6.4</v>
      </c>
      <c r="H726" s="41">
        <v>12.149</v>
      </c>
      <c r="I726" s="40">
        <v>2184.18</v>
      </c>
      <c r="J726" s="41">
        <v>22.2</v>
      </c>
      <c r="K726" s="40">
        <v>2184.2</v>
      </c>
      <c r="L726" s="39">
        <f t="shared" si="152"/>
        <v>0.010163904404358576</v>
      </c>
      <c r="M726" s="38">
        <v>225</v>
      </c>
      <c r="N726" s="38">
        <f t="shared" si="153"/>
        <v>2.2868784909806794</v>
      </c>
      <c r="O726" s="38">
        <f t="shared" si="156"/>
        <v>609.8342642615146</v>
      </c>
      <c r="P726" s="38">
        <f>O726*M726/1000</f>
        <v>137.21270945884078</v>
      </c>
      <c r="R726" s="10"/>
      <c r="S726" s="10"/>
    </row>
    <row r="727" spans="1:19" s="9" customFormat="1" ht="12.75">
      <c r="A727" s="179"/>
      <c r="B727" s="119" t="s">
        <v>321</v>
      </c>
      <c r="C727" s="64">
        <v>5</v>
      </c>
      <c r="D727" s="64">
        <v>1880</v>
      </c>
      <c r="E727" s="65">
        <v>3.324</v>
      </c>
      <c r="F727" s="65">
        <v>0.51</v>
      </c>
      <c r="G727" s="65">
        <v>0.72</v>
      </c>
      <c r="H727" s="65">
        <v>2.094</v>
      </c>
      <c r="I727" s="175">
        <v>377.71</v>
      </c>
      <c r="J727" s="65">
        <v>1.879572</v>
      </c>
      <c r="K727" s="175">
        <v>184.32</v>
      </c>
      <c r="L727" s="138">
        <v>0.010197</v>
      </c>
      <c r="M727" s="63">
        <v>281.7</v>
      </c>
      <c r="N727" s="177">
        <f>L727*M727*1.09</f>
        <v>3.131019441</v>
      </c>
      <c r="O727" s="177">
        <f t="shared" si="156"/>
        <v>611.8199999999999</v>
      </c>
      <c r="P727" s="177">
        <f>M727*O727/1000</f>
        <v>172.349694</v>
      </c>
      <c r="R727" s="10"/>
      <c r="S727" s="10"/>
    </row>
    <row r="728" spans="1:19" s="9" customFormat="1" ht="12.75" customHeight="1">
      <c r="A728" s="179"/>
      <c r="B728" s="87" t="s">
        <v>67</v>
      </c>
      <c r="C728" s="37">
        <v>37</v>
      </c>
      <c r="D728" s="37">
        <v>1987</v>
      </c>
      <c r="E728" s="41">
        <v>32.103</v>
      </c>
      <c r="F728" s="41">
        <v>4.584702</v>
      </c>
      <c r="G728" s="41">
        <v>5.76</v>
      </c>
      <c r="H728" s="41">
        <v>21.758301</v>
      </c>
      <c r="I728" s="40">
        <v>2115.27</v>
      </c>
      <c r="J728" s="41">
        <f>H728</f>
        <v>21.758301</v>
      </c>
      <c r="K728" s="40">
        <v>2115.27</v>
      </c>
      <c r="L728" s="39">
        <f>J728/K728</f>
        <v>0.010286299621324936</v>
      </c>
      <c r="M728" s="38">
        <v>307.38</v>
      </c>
      <c r="N728" s="38">
        <f>L728*M728</f>
        <v>3.1618027776028588</v>
      </c>
      <c r="O728" s="38">
        <f t="shared" si="156"/>
        <v>617.1779772794962</v>
      </c>
      <c r="P728" s="38">
        <f>N728*60</f>
        <v>189.70816665617153</v>
      </c>
      <c r="R728" s="10"/>
      <c r="S728" s="10"/>
    </row>
    <row r="729" spans="1:19" s="9" customFormat="1" ht="12.75">
      <c r="A729" s="179"/>
      <c r="B729" s="119" t="s">
        <v>273</v>
      </c>
      <c r="C729" s="64">
        <v>6</v>
      </c>
      <c r="D729" s="64">
        <v>1910</v>
      </c>
      <c r="E729" s="41">
        <v>4.398</v>
      </c>
      <c r="F729" s="41">
        <v>0.306</v>
      </c>
      <c r="G729" s="41">
        <v>0.96</v>
      </c>
      <c r="H729" s="41">
        <v>3.132</v>
      </c>
      <c r="I729" s="40">
        <v>303.9</v>
      </c>
      <c r="J729" s="41">
        <v>3.132</v>
      </c>
      <c r="K729" s="40">
        <v>303.9</v>
      </c>
      <c r="L729" s="39">
        <f>J729/K729</f>
        <v>0.010306021717670288</v>
      </c>
      <c r="M729" s="38">
        <v>343.459</v>
      </c>
      <c r="N729" s="38">
        <f>L729*M729</f>
        <v>3.5396959131293193</v>
      </c>
      <c r="O729" s="38">
        <f t="shared" si="156"/>
        <v>618.3613030602173</v>
      </c>
      <c r="P729" s="38">
        <f>O729*M729/1000</f>
        <v>212.38175478775918</v>
      </c>
      <c r="Q729" s="11"/>
      <c r="R729" s="10"/>
      <c r="S729" s="10"/>
    </row>
    <row r="730" spans="1:19" s="9" customFormat="1" ht="12.75">
      <c r="A730" s="179"/>
      <c r="B730" s="87" t="s">
        <v>839</v>
      </c>
      <c r="C730" s="37">
        <v>20</v>
      </c>
      <c r="D730" s="37">
        <v>1982</v>
      </c>
      <c r="E730" s="41">
        <v>16.156</v>
      </c>
      <c r="F730" s="41">
        <v>1.9635</v>
      </c>
      <c r="G730" s="41">
        <v>3.491</v>
      </c>
      <c r="H730" s="41">
        <v>10.701502</v>
      </c>
      <c r="I730" s="40">
        <v>1036.5</v>
      </c>
      <c r="J730" s="41">
        <v>10.7</v>
      </c>
      <c r="K730" s="40">
        <v>1036.5</v>
      </c>
      <c r="L730" s="39">
        <f>J730/K730</f>
        <v>0.010323203087313073</v>
      </c>
      <c r="M730" s="38">
        <v>230</v>
      </c>
      <c r="N730" s="38">
        <v>2.36</v>
      </c>
      <c r="O730" s="38">
        <f t="shared" si="156"/>
        <v>619.3921852387844</v>
      </c>
      <c r="P730" s="38">
        <v>141.6</v>
      </c>
      <c r="R730" s="10"/>
      <c r="S730" s="10"/>
    </row>
    <row r="731" spans="1:19" s="9" customFormat="1" ht="12.75">
      <c r="A731" s="179"/>
      <c r="B731" s="125" t="s">
        <v>420</v>
      </c>
      <c r="C731" s="171">
        <v>5</v>
      </c>
      <c r="D731" s="51">
        <v>1961</v>
      </c>
      <c r="E731" s="172">
        <f>F731+G731+H731</f>
        <v>2.313983</v>
      </c>
      <c r="F731" s="173">
        <v>0</v>
      </c>
      <c r="G731" s="173">
        <v>0</v>
      </c>
      <c r="H731" s="173">
        <v>2.313983</v>
      </c>
      <c r="I731" s="174">
        <v>362.23</v>
      </c>
      <c r="J731" s="173">
        <v>2.313983</v>
      </c>
      <c r="K731" s="174">
        <v>223.64000000000001</v>
      </c>
      <c r="L731" s="139">
        <f>J731/K731</f>
        <v>0.010346910212842066</v>
      </c>
      <c r="M731" s="52">
        <v>315.01</v>
      </c>
      <c r="N731" s="52">
        <f>L731*M731</f>
        <v>3.259380186147379</v>
      </c>
      <c r="O731" s="52">
        <f t="shared" si="156"/>
        <v>620.8146127705239</v>
      </c>
      <c r="P731" s="52">
        <f>O731*M731/1000</f>
        <v>195.56281116884276</v>
      </c>
      <c r="R731" s="10"/>
      <c r="S731" s="10"/>
    </row>
    <row r="732" spans="1:22" s="9" customFormat="1" ht="12.75">
      <c r="A732" s="179"/>
      <c r="B732" s="119" t="s">
        <v>322</v>
      </c>
      <c r="C732" s="64">
        <v>6</v>
      </c>
      <c r="D732" s="64">
        <v>1959</v>
      </c>
      <c r="E732" s="65">
        <v>4.820999</v>
      </c>
      <c r="F732" s="65">
        <v>0.561</v>
      </c>
      <c r="G732" s="65">
        <v>0.96</v>
      </c>
      <c r="H732" s="65">
        <v>3.299999</v>
      </c>
      <c r="I732" s="175">
        <v>317.83</v>
      </c>
      <c r="J732" s="65">
        <v>3.299999</v>
      </c>
      <c r="K732" s="175">
        <v>317.83</v>
      </c>
      <c r="L732" s="138">
        <v>0.010382</v>
      </c>
      <c r="M732" s="63">
        <v>281.7</v>
      </c>
      <c r="N732" s="177">
        <f>L732*M732*1.09</f>
        <v>3.1878242460000004</v>
      </c>
      <c r="O732" s="177">
        <f t="shared" si="156"/>
        <v>622.9200000000001</v>
      </c>
      <c r="P732" s="177">
        <f>M732*O732/1000</f>
        <v>175.47656400000002</v>
      </c>
      <c r="Q732" s="10"/>
      <c r="R732" s="10"/>
      <c r="S732" s="10"/>
      <c r="T732" s="12"/>
      <c r="U732" s="13"/>
      <c r="V732" s="13"/>
    </row>
    <row r="733" spans="1:19" s="9" customFormat="1" ht="12.75">
      <c r="A733" s="179"/>
      <c r="B733" s="87" t="s">
        <v>664</v>
      </c>
      <c r="C733" s="37">
        <v>40</v>
      </c>
      <c r="D733" s="37">
        <v>1976</v>
      </c>
      <c r="E733" s="41">
        <v>19.9</v>
      </c>
      <c r="F733" s="41">
        <v>2.659</v>
      </c>
      <c r="G733" s="41">
        <v>6.4</v>
      </c>
      <c r="H733" s="41">
        <v>10.841</v>
      </c>
      <c r="I733" s="40">
        <v>1914.5</v>
      </c>
      <c r="J733" s="41">
        <v>19.9</v>
      </c>
      <c r="K733" s="40">
        <v>1914.5</v>
      </c>
      <c r="L733" s="39">
        <f>J733/K733</f>
        <v>0.01039435884042831</v>
      </c>
      <c r="M733" s="38">
        <v>225</v>
      </c>
      <c r="N733" s="38">
        <f>L733*M733</f>
        <v>2.33873073909637</v>
      </c>
      <c r="O733" s="38">
        <f t="shared" si="156"/>
        <v>623.6615304256986</v>
      </c>
      <c r="P733" s="38">
        <f>O733*M733/1000</f>
        <v>140.3238443457822</v>
      </c>
      <c r="R733" s="10"/>
      <c r="S733" s="10"/>
    </row>
    <row r="734" spans="1:19" s="9" customFormat="1" ht="12.75" customHeight="1">
      <c r="A734" s="179"/>
      <c r="B734" s="87" t="s">
        <v>206</v>
      </c>
      <c r="C734" s="37">
        <v>79</v>
      </c>
      <c r="D734" s="37">
        <v>1960</v>
      </c>
      <c r="E734" s="41">
        <v>13.6</v>
      </c>
      <c r="F734" s="41"/>
      <c r="G734" s="41"/>
      <c r="H734" s="41">
        <f>E734-F734-G734</f>
        <v>13.6</v>
      </c>
      <c r="I734" s="40">
        <v>1307.92</v>
      </c>
      <c r="J734" s="41">
        <v>13.6</v>
      </c>
      <c r="K734" s="40">
        <v>1307.92</v>
      </c>
      <c r="L734" s="39">
        <f>J734/K734</f>
        <v>0.01039818949171203</v>
      </c>
      <c r="M734" s="38">
        <v>267.81</v>
      </c>
      <c r="N734" s="38">
        <f>L734*M734</f>
        <v>2.7847391277753992</v>
      </c>
      <c r="O734" s="38">
        <f t="shared" si="156"/>
        <v>623.8913695027219</v>
      </c>
      <c r="P734" s="38">
        <f>O734*M734/1000</f>
        <v>167.08434766652394</v>
      </c>
      <c r="Q734" s="11"/>
      <c r="R734" s="10"/>
      <c r="S734" s="10"/>
    </row>
    <row r="735" spans="1:19" s="9" customFormat="1" ht="12.75">
      <c r="A735" s="179"/>
      <c r="B735" s="87" t="s">
        <v>665</v>
      </c>
      <c r="C735" s="37">
        <v>41</v>
      </c>
      <c r="D735" s="37">
        <v>1983</v>
      </c>
      <c r="E735" s="41">
        <v>23.1</v>
      </c>
      <c r="F735" s="41">
        <v>4.169</v>
      </c>
      <c r="G735" s="41">
        <v>6.4</v>
      </c>
      <c r="H735" s="41">
        <v>12.531</v>
      </c>
      <c r="I735" s="40">
        <v>2218.33</v>
      </c>
      <c r="J735" s="41">
        <v>23.1</v>
      </c>
      <c r="K735" s="40">
        <v>2218.3</v>
      </c>
      <c r="L735" s="39">
        <f>J735/K735</f>
        <v>0.01041337961502051</v>
      </c>
      <c r="M735" s="38">
        <v>225</v>
      </c>
      <c r="N735" s="38">
        <f>L735*M735</f>
        <v>2.343010413379615</v>
      </c>
      <c r="O735" s="38">
        <f t="shared" si="156"/>
        <v>624.8027769012307</v>
      </c>
      <c r="P735" s="38">
        <f>O735*M735/1000</f>
        <v>140.5806248027769</v>
      </c>
      <c r="R735" s="10"/>
      <c r="S735" s="10"/>
    </row>
    <row r="736" spans="1:19" s="9" customFormat="1" ht="12.75">
      <c r="A736" s="179"/>
      <c r="B736" s="119" t="s">
        <v>274</v>
      </c>
      <c r="C736" s="64">
        <v>19</v>
      </c>
      <c r="D736" s="64">
        <v>1961</v>
      </c>
      <c r="E736" s="41">
        <v>10.767</v>
      </c>
      <c r="F736" s="41">
        <v>1.326</v>
      </c>
      <c r="G736" s="41">
        <v>0.21</v>
      </c>
      <c r="H736" s="41">
        <v>9.231</v>
      </c>
      <c r="I736" s="40">
        <v>886.26</v>
      </c>
      <c r="J736" s="41">
        <v>6.97</v>
      </c>
      <c r="K736" s="40">
        <v>669.1</v>
      </c>
      <c r="L736" s="39">
        <f>J736/K736</f>
        <v>0.010416978030189806</v>
      </c>
      <c r="M736" s="38">
        <v>343.459</v>
      </c>
      <c r="N736" s="38">
        <f>L736*M736</f>
        <v>3.5778048572709604</v>
      </c>
      <c r="O736" s="38">
        <f t="shared" si="156"/>
        <v>625.0186818113883</v>
      </c>
      <c r="P736" s="38">
        <f>O736*M736/1000</f>
        <v>214.66829143625762</v>
      </c>
      <c r="R736" s="10"/>
      <c r="S736" s="10"/>
    </row>
    <row r="737" spans="1:19" s="9" customFormat="1" ht="12.75">
      <c r="A737" s="179"/>
      <c r="B737" s="87" t="s">
        <v>840</v>
      </c>
      <c r="C737" s="37">
        <v>20</v>
      </c>
      <c r="D737" s="37">
        <v>1978</v>
      </c>
      <c r="E737" s="41">
        <v>12.451227</v>
      </c>
      <c r="F737" s="41">
        <v>1.071</v>
      </c>
      <c r="G737" s="41">
        <v>2.56</v>
      </c>
      <c r="H737" s="41">
        <v>8.820226</v>
      </c>
      <c r="I737" s="40">
        <v>841.82</v>
      </c>
      <c r="J737" s="41">
        <v>8.8</v>
      </c>
      <c r="K737" s="40">
        <v>841.8</v>
      </c>
      <c r="L737" s="39">
        <f>J737/K737</f>
        <v>0.010453789498693277</v>
      </c>
      <c r="M737" s="38">
        <v>230</v>
      </c>
      <c r="N737" s="38">
        <v>2.39</v>
      </c>
      <c r="O737" s="38">
        <f t="shared" si="156"/>
        <v>627.2273699215966</v>
      </c>
      <c r="P737" s="38">
        <v>143.4</v>
      </c>
      <c r="R737" s="10"/>
      <c r="S737" s="10"/>
    </row>
    <row r="738" spans="1:19" s="9" customFormat="1" ht="11.25" customHeight="1">
      <c r="A738" s="179"/>
      <c r="B738" s="87" t="s">
        <v>833</v>
      </c>
      <c r="C738" s="37">
        <v>8</v>
      </c>
      <c r="D738" s="37">
        <v>1962</v>
      </c>
      <c r="E738" s="41">
        <f>SUM(F738+G738+H738)</f>
        <v>5.4</v>
      </c>
      <c r="F738" s="41">
        <v>0.4</v>
      </c>
      <c r="G738" s="41">
        <v>1.3</v>
      </c>
      <c r="H738" s="41">
        <v>3.7</v>
      </c>
      <c r="I738" s="40">
        <v>349.3</v>
      </c>
      <c r="J738" s="41">
        <v>3.2</v>
      </c>
      <c r="K738" s="40">
        <v>305.787</v>
      </c>
      <c r="L738" s="39">
        <f>SUM(J738/K738)</f>
        <v>0.010464800661898643</v>
      </c>
      <c r="M738" s="38">
        <v>214.3</v>
      </c>
      <c r="N738" s="38">
        <f>SUM(L738*M738)</f>
        <v>2.2426067818448794</v>
      </c>
      <c r="O738" s="38">
        <f t="shared" si="156"/>
        <v>627.8880397139186</v>
      </c>
      <c r="P738" s="38">
        <f>SUM(N738*60)</f>
        <v>134.55640691069277</v>
      </c>
      <c r="R738" s="10"/>
      <c r="S738" s="10"/>
    </row>
    <row r="739" spans="1:19" s="9" customFormat="1" ht="12.75" customHeight="1">
      <c r="A739" s="179"/>
      <c r="B739" s="87" t="s">
        <v>734</v>
      </c>
      <c r="C739" s="37">
        <v>24</v>
      </c>
      <c r="D739" s="37">
        <v>1981</v>
      </c>
      <c r="E739" s="41">
        <v>16.12</v>
      </c>
      <c r="F739" s="41">
        <v>1.848</v>
      </c>
      <c r="G739" s="41">
        <v>3.84</v>
      </c>
      <c r="H739" s="41">
        <v>10.432</v>
      </c>
      <c r="I739" s="40">
        <v>996.81</v>
      </c>
      <c r="J739" s="41">
        <v>10.432</v>
      </c>
      <c r="K739" s="40">
        <v>996.81</v>
      </c>
      <c r="L739" s="39">
        <f aca="true" t="shared" si="157" ref="L739:L761">J739/K739</f>
        <v>0.010465384576799993</v>
      </c>
      <c r="M739" s="38">
        <v>194.3</v>
      </c>
      <c r="N739" s="38">
        <f aca="true" t="shared" si="158" ref="N739:N757">L739*M739</f>
        <v>2.0334242232722386</v>
      </c>
      <c r="O739" s="38">
        <f t="shared" si="156"/>
        <v>627.9230746079995</v>
      </c>
      <c r="P739" s="38">
        <f>O739*M739/1000</f>
        <v>122.00545339633432</v>
      </c>
      <c r="R739" s="10"/>
      <c r="S739" s="10"/>
    </row>
    <row r="740" spans="1:19" s="9" customFormat="1" ht="12.75" customHeight="1">
      <c r="A740" s="179"/>
      <c r="B740" s="87" t="s">
        <v>666</v>
      </c>
      <c r="C740" s="37">
        <v>40</v>
      </c>
      <c r="D740" s="37">
        <v>1980</v>
      </c>
      <c r="E740" s="41">
        <v>20.6</v>
      </c>
      <c r="F740" s="41">
        <v>3.033</v>
      </c>
      <c r="G740" s="41">
        <v>6.4</v>
      </c>
      <c r="H740" s="41">
        <v>11.167</v>
      </c>
      <c r="I740" s="40">
        <v>1961.63</v>
      </c>
      <c r="J740" s="41">
        <v>20.6</v>
      </c>
      <c r="K740" s="40">
        <v>1961.6</v>
      </c>
      <c r="L740" s="39">
        <f t="shared" si="157"/>
        <v>0.010501631321370311</v>
      </c>
      <c r="M740" s="38">
        <v>225</v>
      </c>
      <c r="N740" s="38">
        <f t="shared" si="158"/>
        <v>2.36286704730832</v>
      </c>
      <c r="O740" s="38">
        <f t="shared" si="156"/>
        <v>630.0978792822187</v>
      </c>
      <c r="P740" s="38">
        <f>O740*M740/1000</f>
        <v>141.77202283849923</v>
      </c>
      <c r="R740" s="10"/>
      <c r="S740" s="10"/>
    </row>
    <row r="741" spans="1:19" s="9" customFormat="1" ht="12.75" customHeight="1">
      <c r="A741" s="179"/>
      <c r="B741" s="87" t="s">
        <v>569</v>
      </c>
      <c r="C741" s="37">
        <v>16</v>
      </c>
      <c r="D741" s="37" t="s">
        <v>31</v>
      </c>
      <c r="E741" s="41">
        <f>F741+G741+H741</f>
        <v>8.554</v>
      </c>
      <c r="F741" s="41">
        <v>1.2052</v>
      </c>
      <c r="G741" s="41">
        <v>0</v>
      </c>
      <c r="H741" s="41">
        <v>7.3488</v>
      </c>
      <c r="I741" s="40">
        <v>696.15</v>
      </c>
      <c r="J741" s="41">
        <v>7.3488</v>
      </c>
      <c r="K741" s="40">
        <v>696.15</v>
      </c>
      <c r="L741" s="39">
        <f t="shared" si="157"/>
        <v>0.010556345615169145</v>
      </c>
      <c r="M741" s="38">
        <v>206.4</v>
      </c>
      <c r="N741" s="38">
        <f t="shared" si="158"/>
        <v>2.1788297349709116</v>
      </c>
      <c r="O741" s="38">
        <f>L741*1000*60</f>
        <v>633.3807369101487</v>
      </c>
      <c r="P741" s="38">
        <f>N741*60</f>
        <v>130.7297840982547</v>
      </c>
      <c r="R741" s="10"/>
      <c r="S741" s="10"/>
    </row>
    <row r="742" spans="1:19" s="9" customFormat="1" ht="12.75" customHeight="1">
      <c r="A742" s="179"/>
      <c r="B742" s="88" t="s">
        <v>68</v>
      </c>
      <c r="C742" s="37">
        <v>35</v>
      </c>
      <c r="D742" s="37">
        <v>1965</v>
      </c>
      <c r="E742" s="41">
        <v>15.768</v>
      </c>
      <c r="F742" s="41">
        <v>7.669745</v>
      </c>
      <c r="G742" s="41">
        <v>0.826</v>
      </c>
      <c r="H742" s="41">
        <v>7.272254</v>
      </c>
      <c r="I742" s="40">
        <v>687.58</v>
      </c>
      <c r="J742" s="41">
        <f>H742</f>
        <v>7.272254</v>
      </c>
      <c r="K742" s="40">
        <v>687.58</v>
      </c>
      <c r="L742" s="39">
        <f t="shared" si="157"/>
        <v>0.010576593269146863</v>
      </c>
      <c r="M742" s="38">
        <v>307.38</v>
      </c>
      <c r="N742" s="38">
        <f t="shared" si="158"/>
        <v>3.2510332390703627</v>
      </c>
      <c r="O742" s="38">
        <f>L742*60*1000</f>
        <v>634.5955961488118</v>
      </c>
      <c r="P742" s="38">
        <f>N742*60</f>
        <v>195.06199434422177</v>
      </c>
      <c r="R742" s="10"/>
      <c r="S742" s="10"/>
    </row>
    <row r="743" spans="1:19" s="9" customFormat="1" ht="12.75">
      <c r="A743" s="179"/>
      <c r="B743" s="87" t="s">
        <v>111</v>
      </c>
      <c r="C743" s="37">
        <v>8</v>
      </c>
      <c r="D743" s="37">
        <v>1901</v>
      </c>
      <c r="E743" s="41">
        <v>3.5</v>
      </c>
      <c r="F743" s="41"/>
      <c r="G743" s="41"/>
      <c r="H743" s="41">
        <f>E743-F743-G743</f>
        <v>3.5</v>
      </c>
      <c r="I743" s="40">
        <v>330</v>
      </c>
      <c r="J743" s="41">
        <f>H743/I743*K743</f>
        <v>3.5</v>
      </c>
      <c r="K743" s="37">
        <v>330</v>
      </c>
      <c r="L743" s="39">
        <f t="shared" si="157"/>
        <v>0.010606060606060607</v>
      </c>
      <c r="M743" s="38">
        <v>332.56</v>
      </c>
      <c r="N743" s="38">
        <f t="shared" si="158"/>
        <v>3.5271515151515156</v>
      </c>
      <c r="O743" s="38">
        <f>L743*60*1000</f>
        <v>636.3636363636364</v>
      </c>
      <c r="P743" s="38">
        <f>O743*M743/1000</f>
        <v>211.6290909090909</v>
      </c>
      <c r="R743" s="10"/>
      <c r="S743" s="10"/>
    </row>
    <row r="744" spans="1:19" s="9" customFormat="1" ht="12.75">
      <c r="A744" s="179"/>
      <c r="B744" s="87" t="s">
        <v>593</v>
      </c>
      <c r="C744" s="37">
        <v>60</v>
      </c>
      <c r="D744" s="37">
        <v>1985</v>
      </c>
      <c r="E744" s="41">
        <v>55.7</v>
      </c>
      <c r="F744" s="41">
        <v>5.4422</v>
      </c>
      <c r="G744" s="41">
        <v>9.36</v>
      </c>
      <c r="H744" s="41">
        <f>E744-F744-G744</f>
        <v>40.897800000000004</v>
      </c>
      <c r="I744" s="40">
        <v>3842.05</v>
      </c>
      <c r="J744" s="41">
        <v>40.8978</v>
      </c>
      <c r="K744" s="40">
        <v>3842.05</v>
      </c>
      <c r="L744" s="39">
        <f t="shared" si="157"/>
        <v>0.010644785986647752</v>
      </c>
      <c r="M744" s="38">
        <v>243.179</v>
      </c>
      <c r="N744" s="38">
        <f t="shared" si="158"/>
        <v>2.5885884114470135</v>
      </c>
      <c r="O744" s="38">
        <f>L744*1000*60</f>
        <v>638.6871591988652</v>
      </c>
      <c r="P744" s="38">
        <f>N744*60</f>
        <v>155.3153046868208</v>
      </c>
      <c r="R744" s="10"/>
      <c r="S744" s="10"/>
    </row>
    <row r="745" spans="1:19" s="9" customFormat="1" ht="12.75">
      <c r="A745" s="179"/>
      <c r="B745" s="119" t="s">
        <v>275</v>
      </c>
      <c r="C745" s="64">
        <v>9</v>
      </c>
      <c r="D745" s="64">
        <v>1925</v>
      </c>
      <c r="E745" s="41">
        <v>5.67</v>
      </c>
      <c r="F745" s="41">
        <v>0.459</v>
      </c>
      <c r="G745" s="41">
        <v>1.6</v>
      </c>
      <c r="H745" s="41">
        <v>3.611</v>
      </c>
      <c r="I745" s="40">
        <v>392.63</v>
      </c>
      <c r="J745" s="41">
        <v>3.48</v>
      </c>
      <c r="K745" s="40">
        <v>326.76</v>
      </c>
      <c r="L745" s="39">
        <f t="shared" si="157"/>
        <v>0.010650018362100624</v>
      </c>
      <c r="M745" s="38">
        <v>343.459</v>
      </c>
      <c r="N745" s="38">
        <f t="shared" si="158"/>
        <v>3.6578446566287184</v>
      </c>
      <c r="O745" s="38">
        <f aca="true" t="shared" si="159" ref="O745:O764">L745*60*1000</f>
        <v>639.0011017260375</v>
      </c>
      <c r="P745" s="38">
        <f>O745*M745/1000</f>
        <v>219.4706793977231</v>
      </c>
      <c r="Q745" s="11"/>
      <c r="R745" s="10"/>
      <c r="S745" s="10"/>
    </row>
    <row r="746" spans="1:19" s="9" customFormat="1" ht="12.75">
      <c r="A746" s="179"/>
      <c r="B746" s="87" t="s">
        <v>617</v>
      </c>
      <c r="C746" s="37">
        <v>8</v>
      </c>
      <c r="D746" s="37">
        <v>1960</v>
      </c>
      <c r="E746" s="41">
        <v>5.619</v>
      </c>
      <c r="F746" s="41">
        <v>0.934</v>
      </c>
      <c r="G746" s="41">
        <v>1.28</v>
      </c>
      <c r="H746" s="41">
        <v>3.9</v>
      </c>
      <c r="I746" s="40">
        <v>365.71</v>
      </c>
      <c r="J746" s="41">
        <v>3.9</v>
      </c>
      <c r="K746" s="40">
        <v>365.71</v>
      </c>
      <c r="L746" s="39">
        <f t="shared" si="157"/>
        <v>0.010664187470946926</v>
      </c>
      <c r="M746" s="38">
        <v>210.7</v>
      </c>
      <c r="N746" s="38">
        <f t="shared" si="158"/>
        <v>2.246944300128517</v>
      </c>
      <c r="O746" s="38">
        <f t="shared" si="159"/>
        <v>639.8512482568156</v>
      </c>
      <c r="P746" s="38">
        <f>O746*M746/1000</f>
        <v>134.81665800771103</v>
      </c>
      <c r="R746" s="10"/>
      <c r="S746" s="10"/>
    </row>
    <row r="747" spans="1:19" s="9" customFormat="1" ht="12.75" customHeight="1">
      <c r="A747" s="179"/>
      <c r="B747" s="119" t="s">
        <v>276</v>
      </c>
      <c r="C747" s="64">
        <v>6</v>
      </c>
      <c r="D747" s="64">
        <v>1930</v>
      </c>
      <c r="E747" s="41">
        <v>3.83</v>
      </c>
      <c r="F747" s="41">
        <v>0.102</v>
      </c>
      <c r="G747" s="41">
        <v>0.8</v>
      </c>
      <c r="H747" s="41">
        <v>2.928</v>
      </c>
      <c r="I747" s="40">
        <v>323.39</v>
      </c>
      <c r="J747" s="41">
        <v>2.85</v>
      </c>
      <c r="K747" s="40">
        <v>266.7</v>
      </c>
      <c r="L747" s="39">
        <f t="shared" si="157"/>
        <v>0.010686164229471317</v>
      </c>
      <c r="M747" s="38">
        <v>343.459</v>
      </c>
      <c r="N747" s="38">
        <f t="shared" si="158"/>
        <v>3.670259280089989</v>
      </c>
      <c r="O747" s="38">
        <f t="shared" si="159"/>
        <v>641.1698537682789</v>
      </c>
      <c r="P747" s="38">
        <f>O747*M747/1000</f>
        <v>220.2155568053993</v>
      </c>
      <c r="R747" s="10"/>
      <c r="S747" s="10"/>
    </row>
    <row r="748" spans="1:19" s="9" customFormat="1" ht="12.75">
      <c r="A748" s="179"/>
      <c r="B748" s="87" t="s">
        <v>667</v>
      </c>
      <c r="C748" s="37">
        <v>40</v>
      </c>
      <c r="D748" s="37"/>
      <c r="E748" s="41">
        <v>20.465</v>
      </c>
      <c r="F748" s="41">
        <v>3.252</v>
      </c>
      <c r="G748" s="41">
        <v>6.4</v>
      </c>
      <c r="H748" s="41">
        <v>10.813</v>
      </c>
      <c r="I748" s="40">
        <v>1916.2</v>
      </c>
      <c r="J748" s="41">
        <v>20.5</v>
      </c>
      <c r="K748" s="40">
        <v>1916.2</v>
      </c>
      <c r="L748" s="39">
        <f t="shared" si="157"/>
        <v>0.010698256966913683</v>
      </c>
      <c r="M748" s="38">
        <v>225</v>
      </c>
      <c r="N748" s="38">
        <f t="shared" si="158"/>
        <v>2.4071078175555787</v>
      </c>
      <c r="O748" s="38">
        <f t="shared" si="159"/>
        <v>641.895418014821</v>
      </c>
      <c r="P748" s="38">
        <f>O748*M748/1000</f>
        <v>144.4264690533347</v>
      </c>
      <c r="R748" s="10"/>
      <c r="S748" s="10"/>
    </row>
    <row r="749" spans="1:19" s="9" customFormat="1" ht="12.75">
      <c r="A749" s="179"/>
      <c r="B749" s="87" t="s">
        <v>340</v>
      </c>
      <c r="C749" s="37">
        <v>18</v>
      </c>
      <c r="D749" s="37">
        <v>1967</v>
      </c>
      <c r="E749" s="41">
        <v>7.970997</v>
      </c>
      <c r="F749" s="41">
        <v>1.581</v>
      </c>
      <c r="G749" s="41">
        <v>0</v>
      </c>
      <c r="H749" s="41">
        <v>6.389997</v>
      </c>
      <c r="I749" s="40">
        <v>597.08</v>
      </c>
      <c r="J749" s="41">
        <v>6.389997</v>
      </c>
      <c r="K749" s="40">
        <v>597.08</v>
      </c>
      <c r="L749" s="39">
        <f t="shared" si="157"/>
        <v>0.010702078448449118</v>
      </c>
      <c r="M749" s="38">
        <v>247.6</v>
      </c>
      <c r="N749" s="38">
        <f t="shared" si="158"/>
        <v>2.6498346238360018</v>
      </c>
      <c r="O749" s="38">
        <f t="shared" si="159"/>
        <v>642.1247069069472</v>
      </c>
      <c r="P749" s="38">
        <f>O749*M749/1000</f>
        <v>158.9900774301601</v>
      </c>
      <c r="R749" s="10"/>
      <c r="S749" s="10"/>
    </row>
    <row r="750" spans="1:19" s="9" customFormat="1" ht="11.25" customHeight="1">
      <c r="A750" s="179"/>
      <c r="B750" s="87" t="s">
        <v>69</v>
      </c>
      <c r="C750" s="37">
        <v>108</v>
      </c>
      <c r="D750" s="37">
        <v>1971</v>
      </c>
      <c r="E750" s="41">
        <v>52.586</v>
      </c>
      <c r="F750" s="41">
        <v>7.499096</v>
      </c>
      <c r="G750" s="41">
        <v>17.279947</v>
      </c>
      <c r="H750" s="41">
        <v>27.8069</v>
      </c>
      <c r="I750" s="40">
        <v>2657.8</v>
      </c>
      <c r="J750" s="41">
        <f>H750</f>
        <v>27.8069</v>
      </c>
      <c r="K750" s="40">
        <v>2595.4</v>
      </c>
      <c r="L750" s="39">
        <f t="shared" si="157"/>
        <v>0.010713916929952993</v>
      </c>
      <c r="M750" s="38">
        <v>307.38</v>
      </c>
      <c r="N750" s="38">
        <f t="shared" si="158"/>
        <v>3.293243785928951</v>
      </c>
      <c r="O750" s="38">
        <f t="shared" si="159"/>
        <v>642.8350157971796</v>
      </c>
      <c r="P750" s="38">
        <f>N750*60</f>
        <v>197.59462715573707</v>
      </c>
      <c r="R750" s="10"/>
      <c r="S750" s="10"/>
    </row>
    <row r="751" spans="1:19" s="9" customFormat="1" ht="12.75" customHeight="1">
      <c r="A751" s="179"/>
      <c r="B751" s="87" t="s">
        <v>668</v>
      </c>
      <c r="C751" s="37">
        <v>40</v>
      </c>
      <c r="D751" s="37">
        <v>1975</v>
      </c>
      <c r="E751" s="41">
        <v>20.223</v>
      </c>
      <c r="F751" s="41">
        <v>3.652</v>
      </c>
      <c r="G751" s="41">
        <v>6.25</v>
      </c>
      <c r="H751" s="41">
        <v>10.321</v>
      </c>
      <c r="I751" s="40">
        <v>1883.15</v>
      </c>
      <c r="J751" s="41">
        <v>20.2</v>
      </c>
      <c r="K751" s="40">
        <v>1883.2</v>
      </c>
      <c r="L751" s="39">
        <f t="shared" si="157"/>
        <v>0.01072642310960068</v>
      </c>
      <c r="M751" s="38">
        <v>225</v>
      </c>
      <c r="N751" s="38">
        <f t="shared" si="158"/>
        <v>2.413445199660153</v>
      </c>
      <c r="O751" s="38">
        <f t="shared" si="159"/>
        <v>643.5853865760408</v>
      </c>
      <c r="P751" s="38">
        <f aca="true" t="shared" si="160" ref="P751:P757">O751*M751/1000</f>
        <v>144.8067119796092</v>
      </c>
      <c r="R751" s="10"/>
      <c r="S751" s="10"/>
    </row>
    <row r="752" spans="1:19" s="9" customFormat="1" ht="12.75" customHeight="1">
      <c r="A752" s="179"/>
      <c r="B752" s="119" t="s">
        <v>277</v>
      </c>
      <c r="C752" s="64">
        <v>12</v>
      </c>
      <c r="D752" s="64">
        <v>1962</v>
      </c>
      <c r="E752" s="41">
        <v>7.693</v>
      </c>
      <c r="F752" s="41">
        <v>0.459</v>
      </c>
      <c r="G752" s="41">
        <v>0.14</v>
      </c>
      <c r="H752" s="41">
        <v>7.094</v>
      </c>
      <c r="I752" s="40">
        <v>864.16</v>
      </c>
      <c r="J752" s="41">
        <v>5.88</v>
      </c>
      <c r="K752" s="40">
        <v>544.13</v>
      </c>
      <c r="L752" s="39">
        <f t="shared" si="157"/>
        <v>0.010806241155606197</v>
      </c>
      <c r="M752" s="38">
        <v>343.459</v>
      </c>
      <c r="N752" s="38">
        <f t="shared" si="158"/>
        <v>3.711500781063349</v>
      </c>
      <c r="O752" s="38">
        <f t="shared" si="159"/>
        <v>648.3744693363719</v>
      </c>
      <c r="P752" s="38">
        <f t="shared" si="160"/>
        <v>222.69004686380097</v>
      </c>
      <c r="R752" s="10"/>
      <c r="S752" s="10"/>
    </row>
    <row r="753" spans="1:19" s="9" customFormat="1" ht="12.75" customHeight="1">
      <c r="A753" s="179"/>
      <c r="B753" s="119" t="s">
        <v>278</v>
      </c>
      <c r="C753" s="64">
        <v>4</v>
      </c>
      <c r="D753" s="64">
        <v>1930</v>
      </c>
      <c r="E753" s="41">
        <v>3.939</v>
      </c>
      <c r="F753" s="41">
        <v>0.408</v>
      </c>
      <c r="G753" s="41">
        <v>0.07</v>
      </c>
      <c r="H753" s="41">
        <v>3.461</v>
      </c>
      <c r="I753" s="40">
        <v>319.18</v>
      </c>
      <c r="J753" s="41">
        <v>1.73</v>
      </c>
      <c r="K753" s="40">
        <v>159.84</v>
      </c>
      <c r="L753" s="39">
        <f t="shared" si="157"/>
        <v>0.010823323323323322</v>
      </c>
      <c r="M753" s="37">
        <v>343.459</v>
      </c>
      <c r="N753" s="38">
        <f t="shared" si="158"/>
        <v>3.717367805305305</v>
      </c>
      <c r="O753" s="38">
        <f t="shared" si="159"/>
        <v>649.3993993993994</v>
      </c>
      <c r="P753" s="38">
        <f t="shared" si="160"/>
        <v>223.04206831831831</v>
      </c>
      <c r="R753" s="10"/>
      <c r="S753" s="10"/>
    </row>
    <row r="754" spans="1:19" s="9" customFormat="1" ht="12.75" customHeight="1">
      <c r="A754" s="179"/>
      <c r="B754" s="119" t="s">
        <v>868</v>
      </c>
      <c r="C754" s="37">
        <v>8</v>
      </c>
      <c r="D754" s="37" t="s">
        <v>31</v>
      </c>
      <c r="E754" s="41">
        <v>4.35</v>
      </c>
      <c r="F754" s="41"/>
      <c r="G754" s="41"/>
      <c r="H754" s="41">
        <v>4.35</v>
      </c>
      <c r="I754" s="47"/>
      <c r="J754" s="41">
        <f>+H754</f>
        <v>4.35</v>
      </c>
      <c r="K754" s="40">
        <v>397.76</v>
      </c>
      <c r="L754" s="39">
        <f t="shared" si="157"/>
        <v>0.010936242960579243</v>
      </c>
      <c r="M754" s="38">
        <v>347.8</v>
      </c>
      <c r="N754" s="38">
        <f t="shared" si="158"/>
        <v>3.803625301689461</v>
      </c>
      <c r="O754" s="38">
        <f t="shared" si="159"/>
        <v>656.1745776347547</v>
      </c>
      <c r="P754" s="38">
        <f t="shared" si="160"/>
        <v>228.21751810136766</v>
      </c>
      <c r="R754" s="10"/>
      <c r="S754" s="10"/>
    </row>
    <row r="755" spans="1:19" s="9" customFormat="1" ht="12.75" customHeight="1">
      <c r="A755" s="179"/>
      <c r="B755" s="87" t="s">
        <v>669</v>
      </c>
      <c r="C755" s="37">
        <v>41</v>
      </c>
      <c r="D755" s="37">
        <v>1980</v>
      </c>
      <c r="E755" s="41">
        <v>24</v>
      </c>
      <c r="F755" s="41">
        <v>4.9</v>
      </c>
      <c r="G755" s="41">
        <v>6.4</v>
      </c>
      <c r="H755" s="41">
        <v>12.7</v>
      </c>
      <c r="I755" s="40">
        <v>2183.94</v>
      </c>
      <c r="J755" s="41">
        <v>24</v>
      </c>
      <c r="K755" s="40">
        <v>2183.9</v>
      </c>
      <c r="L755" s="39">
        <f t="shared" si="157"/>
        <v>0.010989514171894317</v>
      </c>
      <c r="M755" s="38">
        <v>225</v>
      </c>
      <c r="N755" s="38">
        <f t="shared" si="158"/>
        <v>2.4726406886762216</v>
      </c>
      <c r="O755" s="38">
        <f t="shared" si="159"/>
        <v>659.370850313659</v>
      </c>
      <c r="P755" s="38">
        <f t="shared" si="160"/>
        <v>148.3584413205733</v>
      </c>
      <c r="R755" s="10"/>
      <c r="S755" s="10"/>
    </row>
    <row r="756" spans="1:19" s="9" customFormat="1" ht="12.75" customHeight="1">
      <c r="A756" s="179"/>
      <c r="B756" s="87" t="s">
        <v>735</v>
      </c>
      <c r="C756" s="37">
        <v>12</v>
      </c>
      <c r="D756" s="37">
        <v>1970</v>
      </c>
      <c r="E756" s="41">
        <v>6.621</v>
      </c>
      <c r="F756" s="41">
        <v>0.672</v>
      </c>
      <c r="G756" s="41">
        <v>0.12</v>
      </c>
      <c r="H756" s="41">
        <v>5.829</v>
      </c>
      <c r="I756" s="40">
        <v>527.3</v>
      </c>
      <c r="J756" s="41">
        <v>5.829</v>
      </c>
      <c r="K756" s="40">
        <v>527.3</v>
      </c>
      <c r="L756" s="39">
        <f t="shared" si="157"/>
        <v>0.01105442821923004</v>
      </c>
      <c r="M756" s="38">
        <v>194.3</v>
      </c>
      <c r="N756" s="38">
        <f t="shared" si="158"/>
        <v>2.147875402996397</v>
      </c>
      <c r="O756" s="38">
        <f t="shared" si="159"/>
        <v>663.2656931538024</v>
      </c>
      <c r="P756" s="38">
        <f t="shared" si="160"/>
        <v>128.87252417978382</v>
      </c>
      <c r="R756" s="10"/>
      <c r="S756" s="10"/>
    </row>
    <row r="757" spans="1:19" s="9" customFormat="1" ht="12.75" customHeight="1">
      <c r="A757" s="179"/>
      <c r="B757" s="87" t="s">
        <v>341</v>
      </c>
      <c r="C757" s="37">
        <v>47</v>
      </c>
      <c r="D757" s="37">
        <v>1981</v>
      </c>
      <c r="E757" s="41">
        <v>17.389999</v>
      </c>
      <c r="F757" s="41">
        <v>0.26775</v>
      </c>
      <c r="G757" s="41">
        <v>0.231168</v>
      </c>
      <c r="H757" s="41">
        <v>16.891081</v>
      </c>
      <c r="I757" s="40">
        <v>1526.37</v>
      </c>
      <c r="J757" s="41">
        <v>16.510294</v>
      </c>
      <c r="K757" s="40">
        <v>1491.96</v>
      </c>
      <c r="L757" s="39">
        <f t="shared" si="157"/>
        <v>0.011066177377409581</v>
      </c>
      <c r="M757" s="38">
        <v>247.6</v>
      </c>
      <c r="N757" s="38">
        <f t="shared" si="158"/>
        <v>2.739985518646612</v>
      </c>
      <c r="O757" s="38">
        <f t="shared" si="159"/>
        <v>663.9706426445748</v>
      </c>
      <c r="P757" s="38">
        <f t="shared" si="160"/>
        <v>164.3991311187967</v>
      </c>
      <c r="R757" s="10"/>
      <c r="S757" s="10"/>
    </row>
    <row r="758" spans="1:19" s="9" customFormat="1" ht="12.75" customHeight="1">
      <c r="A758" s="179"/>
      <c r="B758" s="87" t="s">
        <v>841</v>
      </c>
      <c r="C758" s="37">
        <v>12</v>
      </c>
      <c r="D758" s="37">
        <v>1989</v>
      </c>
      <c r="E758" s="41">
        <v>11.05</v>
      </c>
      <c r="F758" s="41">
        <v>1.326</v>
      </c>
      <c r="G758" s="41">
        <v>1.92</v>
      </c>
      <c r="H758" s="41">
        <v>7.804</v>
      </c>
      <c r="I758" s="40">
        <v>704.6</v>
      </c>
      <c r="J758" s="41">
        <v>7.8</v>
      </c>
      <c r="K758" s="40">
        <v>704.6</v>
      </c>
      <c r="L758" s="39">
        <f t="shared" si="157"/>
        <v>0.01107011070110701</v>
      </c>
      <c r="M758" s="38">
        <v>230</v>
      </c>
      <c r="N758" s="38">
        <v>2.53</v>
      </c>
      <c r="O758" s="38">
        <f t="shared" si="159"/>
        <v>664.2066420664206</v>
      </c>
      <c r="P758" s="38">
        <v>151.8</v>
      </c>
      <c r="Q758" s="11"/>
      <c r="R758" s="10"/>
      <c r="S758" s="10"/>
    </row>
    <row r="759" spans="1:19" s="9" customFormat="1" ht="13.5" customHeight="1">
      <c r="A759" s="179"/>
      <c r="B759" s="87" t="s">
        <v>693</v>
      </c>
      <c r="C759" s="37">
        <v>8</v>
      </c>
      <c r="D759" s="37" t="s">
        <v>692</v>
      </c>
      <c r="E759" s="41">
        <v>4.366</v>
      </c>
      <c r="F759" s="41">
        <v>0</v>
      </c>
      <c r="G759" s="178">
        <v>0.0198</v>
      </c>
      <c r="H759" s="41">
        <v>4.346</v>
      </c>
      <c r="I759" s="47"/>
      <c r="J759" s="41">
        <f>H759</f>
        <v>4.346</v>
      </c>
      <c r="K759" s="40">
        <v>389.52</v>
      </c>
      <c r="L759" s="39">
        <f t="shared" si="157"/>
        <v>0.011157321831998357</v>
      </c>
      <c r="M759" s="38">
        <v>245.36</v>
      </c>
      <c r="N759" s="38">
        <f>L759*M759</f>
        <v>2.737560484699117</v>
      </c>
      <c r="O759" s="38">
        <f t="shared" si="159"/>
        <v>669.4393099199015</v>
      </c>
      <c r="P759" s="38">
        <f>O759*M759/1000</f>
        <v>164.25362908194703</v>
      </c>
      <c r="R759" s="10"/>
      <c r="S759" s="10"/>
    </row>
    <row r="760" spans="1:16" s="9" customFormat="1" ht="11.25" customHeight="1">
      <c r="A760" s="179"/>
      <c r="B760" s="87" t="s">
        <v>670</v>
      </c>
      <c r="C760" s="37">
        <v>30</v>
      </c>
      <c r="D760" s="37">
        <v>1988</v>
      </c>
      <c r="E760" s="41">
        <v>17.904</v>
      </c>
      <c r="F760" s="41">
        <v>3.718</v>
      </c>
      <c r="G760" s="41">
        <v>4.8</v>
      </c>
      <c r="H760" s="41">
        <v>9.386</v>
      </c>
      <c r="I760" s="40">
        <v>1594.58</v>
      </c>
      <c r="J760" s="41">
        <v>17.9</v>
      </c>
      <c r="K760" s="40">
        <v>1594.6</v>
      </c>
      <c r="L760" s="39">
        <f t="shared" si="157"/>
        <v>0.011225385676658723</v>
      </c>
      <c r="M760" s="38">
        <v>225</v>
      </c>
      <c r="N760" s="38">
        <f>L760*M760</f>
        <v>2.5257117772482127</v>
      </c>
      <c r="O760" s="38">
        <f t="shared" si="159"/>
        <v>673.5231405995233</v>
      </c>
      <c r="P760" s="38">
        <f>O760*M760/1000</f>
        <v>151.54270663489277</v>
      </c>
    </row>
    <row r="761" spans="1:19" s="9" customFormat="1" ht="12.75">
      <c r="A761" s="179"/>
      <c r="B761" s="87" t="s">
        <v>694</v>
      </c>
      <c r="C761" s="37">
        <v>35</v>
      </c>
      <c r="D761" s="37" t="s">
        <v>692</v>
      </c>
      <c r="E761" s="41">
        <v>13.8</v>
      </c>
      <c r="F761" s="41">
        <v>0</v>
      </c>
      <c r="G761" s="41">
        <v>0</v>
      </c>
      <c r="H761" s="41">
        <v>13.8</v>
      </c>
      <c r="I761" s="47"/>
      <c r="J761" s="41">
        <f>H761</f>
        <v>13.8</v>
      </c>
      <c r="K761" s="40">
        <v>1229.2</v>
      </c>
      <c r="L761" s="39">
        <f t="shared" si="157"/>
        <v>0.011226814188089814</v>
      </c>
      <c r="M761" s="38">
        <v>245.36</v>
      </c>
      <c r="N761" s="38">
        <f>L761*M761</f>
        <v>2.754611129189717</v>
      </c>
      <c r="O761" s="38">
        <f t="shared" si="159"/>
        <v>673.6088512853888</v>
      </c>
      <c r="P761" s="38">
        <f>O761*M761/1000</f>
        <v>165.276667751383</v>
      </c>
      <c r="R761" s="10"/>
      <c r="S761" s="10"/>
    </row>
    <row r="762" spans="1:19" s="9" customFormat="1" ht="12.75">
      <c r="A762" s="179"/>
      <c r="B762" s="87" t="s">
        <v>834</v>
      </c>
      <c r="C762" s="37">
        <v>8</v>
      </c>
      <c r="D762" s="37">
        <v>1959</v>
      </c>
      <c r="E762" s="41">
        <f>SUM(F762+G762+H762)</f>
        <v>3.4</v>
      </c>
      <c r="F762" s="41">
        <v>0</v>
      </c>
      <c r="G762" s="41">
        <v>0</v>
      </c>
      <c r="H762" s="41">
        <v>3.4</v>
      </c>
      <c r="I762" s="40">
        <v>303.83</v>
      </c>
      <c r="J762" s="41">
        <v>2.9</v>
      </c>
      <c r="K762" s="40">
        <v>256.9</v>
      </c>
      <c r="L762" s="39">
        <f>SUM(J762/K762)</f>
        <v>0.011288439081354613</v>
      </c>
      <c r="M762" s="38">
        <v>214.3</v>
      </c>
      <c r="N762" s="38">
        <f>SUM(L762*M762)</f>
        <v>2.4191124951342937</v>
      </c>
      <c r="O762" s="38">
        <f t="shared" si="159"/>
        <v>677.3063448812768</v>
      </c>
      <c r="P762" s="38">
        <f>SUM(N762*60)</f>
        <v>145.14674970805763</v>
      </c>
      <c r="R762" s="10"/>
      <c r="S762" s="10"/>
    </row>
    <row r="763" spans="1:19" s="9" customFormat="1" ht="12.75">
      <c r="A763" s="179"/>
      <c r="B763" s="87" t="s">
        <v>716</v>
      </c>
      <c r="C763" s="37">
        <v>36</v>
      </c>
      <c r="D763" s="37"/>
      <c r="E763" s="41">
        <v>35</v>
      </c>
      <c r="F763" s="41">
        <v>4.18</v>
      </c>
      <c r="G763" s="41">
        <v>5.4</v>
      </c>
      <c r="H763" s="41">
        <v>23.9</v>
      </c>
      <c r="I763" s="47"/>
      <c r="J763" s="41">
        <v>23.9</v>
      </c>
      <c r="K763" s="40">
        <v>2109</v>
      </c>
      <c r="L763" s="39">
        <f aca="true" t="shared" si="161" ref="L763:L772">J763/K763</f>
        <v>0.011332385016595543</v>
      </c>
      <c r="M763" s="38">
        <v>234.1</v>
      </c>
      <c r="N763" s="38">
        <f aca="true" t="shared" si="162" ref="N763:N769">L763*M763</f>
        <v>2.6529113323850164</v>
      </c>
      <c r="O763" s="38">
        <f t="shared" si="159"/>
        <v>679.9431009957326</v>
      </c>
      <c r="P763" s="38">
        <f>O763*M763/1000</f>
        <v>159.17467994310098</v>
      </c>
      <c r="R763" s="10"/>
      <c r="S763" s="10"/>
    </row>
    <row r="764" spans="1:19" s="9" customFormat="1" ht="12.75">
      <c r="A764" s="179"/>
      <c r="B764" s="87" t="s">
        <v>717</v>
      </c>
      <c r="C764" s="37">
        <v>20</v>
      </c>
      <c r="D764" s="37"/>
      <c r="E764" s="41">
        <v>16.7</v>
      </c>
      <c r="F764" s="41">
        <v>1.89</v>
      </c>
      <c r="G764" s="41">
        <v>3.2</v>
      </c>
      <c r="H764" s="41">
        <v>11.6</v>
      </c>
      <c r="I764" s="47"/>
      <c r="J764" s="41">
        <v>11.6</v>
      </c>
      <c r="K764" s="40">
        <v>1013</v>
      </c>
      <c r="L764" s="39">
        <f t="shared" si="161"/>
        <v>0.011451135241855873</v>
      </c>
      <c r="M764" s="38">
        <v>234.1</v>
      </c>
      <c r="N764" s="38">
        <f t="shared" si="162"/>
        <v>2.6807107601184597</v>
      </c>
      <c r="O764" s="38">
        <f t="shared" si="159"/>
        <v>687.0681145113524</v>
      </c>
      <c r="P764" s="38">
        <f>O764*M764/1000</f>
        <v>160.84264560710758</v>
      </c>
      <c r="R764" s="10"/>
      <c r="S764" s="10"/>
    </row>
    <row r="765" spans="1:19" s="9" customFormat="1" ht="12.75">
      <c r="A765" s="179"/>
      <c r="B765" s="87" t="s">
        <v>570</v>
      </c>
      <c r="C765" s="37">
        <v>4</v>
      </c>
      <c r="D765" s="37" t="s">
        <v>31</v>
      </c>
      <c r="E765" s="41">
        <f>F765+G765+H765</f>
        <v>2.657</v>
      </c>
      <c r="F765" s="41">
        <v>0.2191</v>
      </c>
      <c r="G765" s="41">
        <v>0.64</v>
      </c>
      <c r="H765" s="41">
        <v>1.7979</v>
      </c>
      <c r="I765" s="40">
        <v>156.81</v>
      </c>
      <c r="J765" s="41">
        <v>1.7979</v>
      </c>
      <c r="K765" s="40">
        <v>156.81</v>
      </c>
      <c r="L765" s="39">
        <f t="shared" si="161"/>
        <v>0.011465467763535488</v>
      </c>
      <c r="M765" s="38">
        <v>206.4</v>
      </c>
      <c r="N765" s="38">
        <f t="shared" si="162"/>
        <v>2.366472546393725</v>
      </c>
      <c r="O765" s="38">
        <f>L765*1000*60</f>
        <v>687.9280658121293</v>
      </c>
      <c r="P765" s="38">
        <f>N765*60</f>
        <v>141.9883527836235</v>
      </c>
      <c r="R765" s="10"/>
      <c r="S765" s="10"/>
    </row>
    <row r="766" spans="1:19" s="9" customFormat="1" ht="12.75">
      <c r="A766" s="179"/>
      <c r="B766" s="87" t="s">
        <v>718</v>
      </c>
      <c r="C766" s="37">
        <v>20</v>
      </c>
      <c r="D766" s="37"/>
      <c r="E766" s="41">
        <v>16.6</v>
      </c>
      <c r="F766" s="41">
        <v>1.1</v>
      </c>
      <c r="G766" s="41">
        <v>3.2</v>
      </c>
      <c r="H766" s="41">
        <v>12.3</v>
      </c>
      <c r="I766" s="47"/>
      <c r="J766" s="41">
        <v>12.3</v>
      </c>
      <c r="K766" s="40">
        <v>1066</v>
      </c>
      <c r="L766" s="39">
        <f t="shared" si="161"/>
        <v>0.011538461538461539</v>
      </c>
      <c r="M766" s="38">
        <v>234.1</v>
      </c>
      <c r="N766" s="38">
        <f t="shared" si="162"/>
        <v>2.7011538461538462</v>
      </c>
      <c r="O766" s="38">
        <f aca="true" t="shared" si="163" ref="O766:O786">L766*60*1000</f>
        <v>692.3076923076923</v>
      </c>
      <c r="P766" s="38">
        <f>O766*M766/1000</f>
        <v>162.06923076923076</v>
      </c>
      <c r="R766" s="10"/>
      <c r="S766" s="10"/>
    </row>
    <row r="767" spans="1:19" s="9" customFormat="1" ht="12.75">
      <c r="A767" s="179"/>
      <c r="B767" s="87" t="s">
        <v>695</v>
      </c>
      <c r="C767" s="37">
        <v>43</v>
      </c>
      <c r="D767" s="37" t="s">
        <v>692</v>
      </c>
      <c r="E767" s="41">
        <v>12.35</v>
      </c>
      <c r="F767" s="41">
        <v>0</v>
      </c>
      <c r="G767" s="41">
        <v>0</v>
      </c>
      <c r="H767" s="41">
        <v>12.35</v>
      </c>
      <c r="I767" s="47"/>
      <c r="J767" s="41">
        <f>H767</f>
        <v>12.35</v>
      </c>
      <c r="K767" s="40">
        <v>1068.56</v>
      </c>
      <c r="L767" s="39">
        <f t="shared" si="161"/>
        <v>0.011557610241820768</v>
      </c>
      <c r="M767" s="38">
        <v>245.36</v>
      </c>
      <c r="N767" s="38">
        <f t="shared" si="162"/>
        <v>2.835775248933144</v>
      </c>
      <c r="O767" s="38">
        <f t="shared" si="163"/>
        <v>693.456614509246</v>
      </c>
      <c r="P767" s="38">
        <f>O767*M767/1000</f>
        <v>170.14651493598862</v>
      </c>
      <c r="R767" s="10"/>
      <c r="S767" s="10"/>
    </row>
    <row r="768" spans="1:19" s="9" customFormat="1" ht="12.75">
      <c r="A768" s="179"/>
      <c r="B768" s="87" t="s">
        <v>70</v>
      </c>
      <c r="C768" s="37">
        <v>11</v>
      </c>
      <c r="D768" s="37">
        <v>1910</v>
      </c>
      <c r="E768" s="41">
        <v>6.574</v>
      </c>
      <c r="F768" s="41">
        <v>1.334055</v>
      </c>
      <c r="G768" s="41">
        <v>0</v>
      </c>
      <c r="H768" s="41">
        <v>5.239946</v>
      </c>
      <c r="I768" s="40">
        <v>542.57</v>
      </c>
      <c r="J768" s="41">
        <f>H768</f>
        <v>5.239946</v>
      </c>
      <c r="K768" s="40">
        <v>450.66</v>
      </c>
      <c r="L768" s="39">
        <f t="shared" si="161"/>
        <v>0.011627271113478008</v>
      </c>
      <c r="M768" s="38">
        <v>307.38</v>
      </c>
      <c r="N768" s="38">
        <f t="shared" si="162"/>
        <v>3.57399059486087</v>
      </c>
      <c r="O768" s="38">
        <f t="shared" si="163"/>
        <v>697.6362668086805</v>
      </c>
      <c r="P768" s="38">
        <f>N768*60</f>
        <v>214.4394356916522</v>
      </c>
      <c r="R768" s="10"/>
      <c r="S768" s="10"/>
    </row>
    <row r="769" spans="1:22" s="9" customFormat="1" ht="13.5" customHeight="1">
      <c r="A769" s="179"/>
      <c r="B769" s="87" t="s">
        <v>719</v>
      </c>
      <c r="C769" s="37">
        <v>20</v>
      </c>
      <c r="D769" s="37"/>
      <c r="E769" s="41">
        <v>17</v>
      </c>
      <c r="F769" s="41">
        <v>1.6</v>
      </c>
      <c r="G769" s="41">
        <v>3.2</v>
      </c>
      <c r="H769" s="41">
        <v>12.1</v>
      </c>
      <c r="I769" s="47"/>
      <c r="J769" s="41">
        <v>12.1</v>
      </c>
      <c r="K769" s="40">
        <v>1039</v>
      </c>
      <c r="L769" s="39">
        <f t="shared" si="161"/>
        <v>0.011645813282001925</v>
      </c>
      <c r="M769" s="38">
        <v>234.1</v>
      </c>
      <c r="N769" s="38">
        <f t="shared" si="162"/>
        <v>2.7262848893166507</v>
      </c>
      <c r="O769" s="38">
        <f t="shared" si="163"/>
        <v>698.7487969201155</v>
      </c>
      <c r="P769" s="38">
        <f>O769*M769/1000</f>
        <v>163.57709335899904</v>
      </c>
      <c r="Q769" s="10"/>
      <c r="R769" s="10"/>
      <c r="S769" s="10"/>
      <c r="T769" s="12"/>
      <c r="U769" s="13"/>
      <c r="V769" s="13"/>
    </row>
    <row r="770" spans="1:19" s="9" customFormat="1" ht="11.25" customHeight="1">
      <c r="A770" s="179"/>
      <c r="B770" s="87" t="s">
        <v>842</v>
      </c>
      <c r="C770" s="37">
        <v>8</v>
      </c>
      <c r="D770" s="37">
        <v>1966</v>
      </c>
      <c r="E770" s="41">
        <v>6.3557</v>
      </c>
      <c r="F770" s="41">
        <v>0.51</v>
      </c>
      <c r="G770" s="41">
        <v>1.28</v>
      </c>
      <c r="H770" s="41">
        <v>4.5657</v>
      </c>
      <c r="I770" s="40">
        <v>393.63</v>
      </c>
      <c r="J770" s="41">
        <v>4.6</v>
      </c>
      <c r="K770" s="40">
        <v>393.6</v>
      </c>
      <c r="L770" s="39">
        <f t="shared" si="161"/>
        <v>0.011686991869918697</v>
      </c>
      <c r="M770" s="38">
        <v>230</v>
      </c>
      <c r="N770" s="38">
        <v>2.65</v>
      </c>
      <c r="O770" s="38">
        <f t="shared" si="163"/>
        <v>701.2195121951218</v>
      </c>
      <c r="P770" s="38">
        <v>159</v>
      </c>
      <c r="R770" s="10"/>
      <c r="S770" s="10"/>
    </row>
    <row r="771" spans="1:19" s="9" customFormat="1" ht="12.75" customHeight="1">
      <c r="A771" s="179"/>
      <c r="B771" s="87" t="s">
        <v>207</v>
      </c>
      <c r="C771" s="37">
        <v>20</v>
      </c>
      <c r="D771" s="37">
        <v>1957</v>
      </c>
      <c r="E771" s="41">
        <v>10.373</v>
      </c>
      <c r="F771" s="41">
        <v>1.452</v>
      </c>
      <c r="G771" s="41">
        <v>0.16</v>
      </c>
      <c r="H771" s="41">
        <f>E771-F771-G771</f>
        <v>8.761</v>
      </c>
      <c r="I771" s="40">
        <v>748.5</v>
      </c>
      <c r="J771" s="41">
        <v>8.761</v>
      </c>
      <c r="K771" s="40">
        <v>748.5</v>
      </c>
      <c r="L771" s="39">
        <f t="shared" si="161"/>
        <v>0.011704742818971275</v>
      </c>
      <c r="M771" s="38">
        <v>267.81</v>
      </c>
      <c r="N771" s="38">
        <f>L771*M771</f>
        <v>3.134647174348697</v>
      </c>
      <c r="O771" s="38">
        <f t="shared" si="163"/>
        <v>702.2845691382765</v>
      </c>
      <c r="P771" s="38">
        <f>O771*M771/1000</f>
        <v>188.07883046092184</v>
      </c>
      <c r="R771" s="10"/>
      <c r="S771" s="10"/>
    </row>
    <row r="772" spans="1:19" s="9" customFormat="1" ht="12.75" customHeight="1">
      <c r="A772" s="179"/>
      <c r="B772" s="87" t="s">
        <v>208</v>
      </c>
      <c r="C772" s="37">
        <v>6</v>
      </c>
      <c r="D772" s="37">
        <v>1959</v>
      </c>
      <c r="E772" s="41">
        <v>5.055</v>
      </c>
      <c r="F772" s="41">
        <v>0.449</v>
      </c>
      <c r="G772" s="41">
        <v>0.8</v>
      </c>
      <c r="H772" s="41">
        <f>E772-F772-G772</f>
        <v>3.806</v>
      </c>
      <c r="I772" s="40">
        <v>324.56</v>
      </c>
      <c r="J772" s="41">
        <v>3.806</v>
      </c>
      <c r="K772" s="40">
        <v>324.6</v>
      </c>
      <c r="L772" s="39">
        <f t="shared" si="161"/>
        <v>0.011725200246457177</v>
      </c>
      <c r="M772" s="38">
        <v>267.81</v>
      </c>
      <c r="N772" s="38">
        <f>L772*M772</f>
        <v>3.1401258780036967</v>
      </c>
      <c r="O772" s="38">
        <f t="shared" si="163"/>
        <v>703.5120147874306</v>
      </c>
      <c r="P772" s="38">
        <f>O772*M772/1000</f>
        <v>188.40755268022178</v>
      </c>
      <c r="R772" s="10"/>
      <c r="S772" s="10"/>
    </row>
    <row r="773" spans="1:19" s="9" customFormat="1" ht="12.75" customHeight="1">
      <c r="A773" s="179"/>
      <c r="B773" s="119" t="s">
        <v>323</v>
      </c>
      <c r="C773" s="64">
        <v>4</v>
      </c>
      <c r="D773" s="64">
        <v>1870</v>
      </c>
      <c r="E773" s="65">
        <v>2.967</v>
      </c>
      <c r="F773" s="65">
        <v>0.4335</v>
      </c>
      <c r="G773" s="65">
        <v>0.64</v>
      </c>
      <c r="H773" s="65">
        <v>1.8935</v>
      </c>
      <c r="I773" s="175">
        <v>160.97</v>
      </c>
      <c r="J773" s="65">
        <v>1.8935</v>
      </c>
      <c r="K773" s="175">
        <v>160.97</v>
      </c>
      <c r="L773" s="138">
        <v>0.011763</v>
      </c>
      <c r="M773" s="63">
        <v>281.7</v>
      </c>
      <c r="N773" s="177">
        <f>L773*M773*1.09</f>
        <v>3.611864439</v>
      </c>
      <c r="O773" s="177">
        <f t="shared" si="163"/>
        <v>705.78</v>
      </c>
      <c r="P773" s="177">
        <f>M773*O773/1000</f>
        <v>198.81822599999998</v>
      </c>
      <c r="R773" s="10"/>
      <c r="S773" s="10"/>
    </row>
    <row r="774" spans="1:19" s="9" customFormat="1" ht="12.75" customHeight="1">
      <c r="A774" s="179"/>
      <c r="B774" s="87" t="s">
        <v>720</v>
      </c>
      <c r="C774" s="37">
        <v>62</v>
      </c>
      <c r="D774" s="37"/>
      <c r="E774" s="41">
        <v>57.1</v>
      </c>
      <c r="F774" s="41">
        <v>1.88</v>
      </c>
      <c r="G774" s="41">
        <v>9.9</v>
      </c>
      <c r="H774" s="41">
        <v>42.69</v>
      </c>
      <c r="I774" s="47"/>
      <c r="J774" s="41">
        <v>42.68</v>
      </c>
      <c r="K774" s="40">
        <v>3618</v>
      </c>
      <c r="L774" s="39">
        <f aca="true" t="shared" si="164" ref="L774:L797">J774/K774</f>
        <v>0.01179657269209508</v>
      </c>
      <c r="M774" s="38">
        <v>234.1</v>
      </c>
      <c r="N774" s="38">
        <f>L774*M774</f>
        <v>2.7615776672194583</v>
      </c>
      <c r="O774" s="38">
        <f t="shared" si="163"/>
        <v>707.7943615257049</v>
      </c>
      <c r="P774" s="38">
        <f>O774*M774/1000</f>
        <v>165.6946600331675</v>
      </c>
      <c r="Q774" s="11"/>
      <c r="R774" s="10"/>
      <c r="S774" s="10"/>
    </row>
    <row r="775" spans="1:19" s="9" customFormat="1" ht="12.75" customHeight="1">
      <c r="A775" s="179"/>
      <c r="B775" s="87" t="s">
        <v>843</v>
      </c>
      <c r="C775" s="37">
        <v>8</v>
      </c>
      <c r="D775" s="37">
        <v>1968</v>
      </c>
      <c r="E775" s="41">
        <v>6.568</v>
      </c>
      <c r="F775" s="41">
        <v>0.663</v>
      </c>
      <c r="G775" s="41">
        <v>1.28</v>
      </c>
      <c r="H775" s="41">
        <v>4.625</v>
      </c>
      <c r="I775" s="40">
        <v>390.08</v>
      </c>
      <c r="J775" s="41">
        <v>4.625</v>
      </c>
      <c r="K775" s="40">
        <v>390.08</v>
      </c>
      <c r="L775" s="39">
        <f t="shared" si="164"/>
        <v>0.011856542247744052</v>
      </c>
      <c r="M775" s="38">
        <v>230</v>
      </c>
      <c r="N775" s="38">
        <v>2.71</v>
      </c>
      <c r="O775" s="38">
        <f t="shared" si="163"/>
        <v>711.3925348646432</v>
      </c>
      <c r="P775" s="38">
        <v>162.6</v>
      </c>
      <c r="R775" s="10"/>
      <c r="S775" s="10"/>
    </row>
    <row r="776" spans="1:19" s="9" customFormat="1" ht="12.75" customHeight="1">
      <c r="A776" s="179"/>
      <c r="B776" s="87" t="s">
        <v>721</v>
      </c>
      <c r="C776" s="37">
        <v>20</v>
      </c>
      <c r="D776" s="37"/>
      <c r="E776" s="41">
        <v>17.77</v>
      </c>
      <c r="F776" s="41">
        <v>2.4</v>
      </c>
      <c r="G776" s="41">
        <v>3.2</v>
      </c>
      <c r="H776" s="41">
        <v>12.1</v>
      </c>
      <c r="I776" s="47"/>
      <c r="J776" s="41">
        <v>12.1</v>
      </c>
      <c r="K776" s="40">
        <v>1019</v>
      </c>
      <c r="L776" s="39">
        <f t="shared" si="164"/>
        <v>0.011874386653581943</v>
      </c>
      <c r="M776" s="38">
        <v>234.1</v>
      </c>
      <c r="N776" s="38">
        <f aca="true" t="shared" si="165" ref="N776:N797">L776*M776</f>
        <v>2.7797939156035327</v>
      </c>
      <c r="O776" s="38">
        <f t="shared" si="163"/>
        <v>712.4631992149165</v>
      </c>
      <c r="P776" s="38">
        <f aca="true" t="shared" si="166" ref="P776:P786">O776*M776/1000</f>
        <v>166.78763493621196</v>
      </c>
      <c r="R776" s="10"/>
      <c r="S776" s="10"/>
    </row>
    <row r="777" spans="1:19" s="9" customFormat="1" ht="12.75" customHeight="1">
      <c r="A777" s="179"/>
      <c r="B777" s="119" t="s">
        <v>279</v>
      </c>
      <c r="C777" s="64">
        <v>15</v>
      </c>
      <c r="D777" s="64">
        <v>1969</v>
      </c>
      <c r="E777" s="41">
        <v>8.098</v>
      </c>
      <c r="F777" s="41">
        <v>0.612</v>
      </c>
      <c r="G777" s="41">
        <v>0.15</v>
      </c>
      <c r="H777" s="41">
        <v>7.336</v>
      </c>
      <c r="I777" s="40">
        <v>617.45</v>
      </c>
      <c r="J777" s="41">
        <v>6.68</v>
      </c>
      <c r="K777" s="40">
        <v>562.44</v>
      </c>
      <c r="L777" s="39">
        <f t="shared" si="164"/>
        <v>0.011876822416613326</v>
      </c>
      <c r="M777" s="38">
        <v>343.459</v>
      </c>
      <c r="N777" s="38">
        <f t="shared" si="165"/>
        <v>4.079201550387596</v>
      </c>
      <c r="O777" s="38">
        <f t="shared" si="163"/>
        <v>712.6093449967996</v>
      </c>
      <c r="P777" s="38">
        <f t="shared" si="166"/>
        <v>244.75209302325578</v>
      </c>
      <c r="R777" s="10"/>
      <c r="S777" s="10"/>
    </row>
    <row r="778" spans="1:19" s="9" customFormat="1" ht="12.75" customHeight="1">
      <c r="A778" s="179"/>
      <c r="B778" s="87" t="s">
        <v>209</v>
      </c>
      <c r="C778" s="37">
        <v>13</v>
      </c>
      <c r="D778" s="37">
        <v>1954</v>
      </c>
      <c r="E778" s="41">
        <v>10.164</v>
      </c>
      <c r="F778" s="41">
        <v>1.6029</v>
      </c>
      <c r="G778" s="41">
        <v>1.83254</v>
      </c>
      <c r="H778" s="41">
        <f>E778-F778-G778</f>
        <v>6.72856</v>
      </c>
      <c r="I778" s="40">
        <v>562.44</v>
      </c>
      <c r="J778" s="41">
        <v>6.72856</v>
      </c>
      <c r="K778" s="40">
        <v>562.4</v>
      </c>
      <c r="L778" s="39">
        <f t="shared" si="164"/>
        <v>0.011964011379800854</v>
      </c>
      <c r="M778" s="38">
        <v>267.81</v>
      </c>
      <c r="N778" s="38">
        <f t="shared" si="165"/>
        <v>3.2040818876244668</v>
      </c>
      <c r="O778" s="38">
        <f t="shared" si="163"/>
        <v>717.8406827880513</v>
      </c>
      <c r="P778" s="38">
        <f t="shared" si="166"/>
        <v>192.244913257468</v>
      </c>
      <c r="R778" s="10"/>
      <c r="S778" s="10"/>
    </row>
    <row r="779" spans="1:19" s="9" customFormat="1" ht="12.75" customHeight="1">
      <c r="A779" s="179"/>
      <c r="B779" s="125" t="s">
        <v>421</v>
      </c>
      <c r="C779" s="171">
        <v>12</v>
      </c>
      <c r="D779" s="51">
        <v>1968</v>
      </c>
      <c r="E779" s="172">
        <f>F779+G779+H779</f>
        <v>7</v>
      </c>
      <c r="F779" s="173">
        <v>0.459</v>
      </c>
      <c r="G779" s="173">
        <v>0.12</v>
      </c>
      <c r="H779" s="173">
        <v>6.421</v>
      </c>
      <c r="I779" s="174">
        <v>536.53</v>
      </c>
      <c r="J779" s="173">
        <v>6.421</v>
      </c>
      <c r="K779" s="174">
        <v>536.53</v>
      </c>
      <c r="L779" s="139">
        <f t="shared" si="164"/>
        <v>0.011967643934169572</v>
      </c>
      <c r="M779" s="52">
        <v>315.01</v>
      </c>
      <c r="N779" s="52">
        <f t="shared" si="165"/>
        <v>3.7699275157027565</v>
      </c>
      <c r="O779" s="52">
        <f t="shared" si="163"/>
        <v>718.0586360501743</v>
      </c>
      <c r="P779" s="52">
        <f t="shared" si="166"/>
        <v>226.1956509421654</v>
      </c>
      <c r="Q779" s="11"/>
      <c r="R779" s="10"/>
      <c r="S779" s="10"/>
    </row>
    <row r="780" spans="1:19" s="9" customFormat="1" ht="11.25" customHeight="1">
      <c r="A780" s="179"/>
      <c r="B780" s="119" t="s">
        <v>280</v>
      </c>
      <c r="C780" s="64">
        <v>12</v>
      </c>
      <c r="D780" s="64">
        <v>1968</v>
      </c>
      <c r="E780" s="41">
        <v>6.641</v>
      </c>
      <c r="F780" s="41">
        <v>0.153</v>
      </c>
      <c r="G780" s="41">
        <v>0.08</v>
      </c>
      <c r="H780" s="41">
        <v>6.408</v>
      </c>
      <c r="I780" s="40">
        <v>489.67</v>
      </c>
      <c r="J780" s="41">
        <v>4.91</v>
      </c>
      <c r="K780" s="40">
        <v>409.77</v>
      </c>
      <c r="L780" s="39">
        <f t="shared" si="164"/>
        <v>0.011982331551846158</v>
      </c>
      <c r="M780" s="38">
        <v>344.459</v>
      </c>
      <c r="N780" s="38">
        <f t="shared" si="165"/>
        <v>4.127421944017375</v>
      </c>
      <c r="O780" s="38">
        <f t="shared" si="163"/>
        <v>718.9398931107694</v>
      </c>
      <c r="P780" s="38">
        <f t="shared" si="166"/>
        <v>247.6453166410425</v>
      </c>
      <c r="R780" s="10"/>
      <c r="S780" s="10"/>
    </row>
    <row r="781" spans="1:19" s="9" customFormat="1" ht="12.75" customHeight="1">
      <c r="A781" s="179"/>
      <c r="B781" s="87" t="s">
        <v>651</v>
      </c>
      <c r="C781" s="37">
        <v>14</v>
      </c>
      <c r="D781" s="37" t="s">
        <v>31</v>
      </c>
      <c r="E781" s="41">
        <f>SUM(F781:H781)</f>
        <v>8.9</v>
      </c>
      <c r="F781" s="41">
        <v>1.3</v>
      </c>
      <c r="G781" s="41">
        <v>0.1</v>
      </c>
      <c r="H781" s="41">
        <v>7.5</v>
      </c>
      <c r="I781" s="40">
        <v>624.59</v>
      </c>
      <c r="J781" s="41">
        <v>7.5</v>
      </c>
      <c r="K781" s="40">
        <v>624.59</v>
      </c>
      <c r="L781" s="176">
        <f t="shared" si="164"/>
        <v>0.012007877167421828</v>
      </c>
      <c r="M781" s="63">
        <v>209.8</v>
      </c>
      <c r="N781" s="177">
        <f t="shared" si="165"/>
        <v>2.5192526297251</v>
      </c>
      <c r="O781" s="177">
        <f t="shared" si="163"/>
        <v>720.4726300453098</v>
      </c>
      <c r="P781" s="177">
        <f t="shared" si="166"/>
        <v>151.155157783506</v>
      </c>
      <c r="Q781" s="11"/>
      <c r="R781" s="10"/>
      <c r="S781" s="10"/>
    </row>
    <row r="782" spans="1:19" s="9" customFormat="1" ht="12.75" customHeight="1">
      <c r="A782" s="179"/>
      <c r="B782" s="87" t="s">
        <v>210</v>
      </c>
      <c r="C782" s="37">
        <v>40</v>
      </c>
      <c r="D782" s="37">
        <v>1961</v>
      </c>
      <c r="E782" s="41">
        <v>24.26</v>
      </c>
      <c r="F782" s="41">
        <v>2.752</v>
      </c>
      <c r="G782" s="41">
        <v>0.4</v>
      </c>
      <c r="H782" s="41">
        <f>E782-F782-G782</f>
        <v>21.108000000000004</v>
      </c>
      <c r="I782" s="40">
        <v>1732.11</v>
      </c>
      <c r="J782" s="41">
        <v>21.108</v>
      </c>
      <c r="K782" s="40">
        <v>1732.11</v>
      </c>
      <c r="L782" s="39">
        <f t="shared" si="164"/>
        <v>0.012186293018341792</v>
      </c>
      <c r="M782" s="38">
        <v>267.81</v>
      </c>
      <c r="N782" s="38">
        <f t="shared" si="165"/>
        <v>3.2636111332421156</v>
      </c>
      <c r="O782" s="38">
        <f t="shared" si="163"/>
        <v>731.1775811005076</v>
      </c>
      <c r="P782" s="38">
        <f t="shared" si="166"/>
        <v>195.81666799452694</v>
      </c>
      <c r="R782" s="10"/>
      <c r="S782" s="10"/>
    </row>
    <row r="783" spans="1:19" s="9" customFormat="1" ht="12.75" customHeight="1">
      <c r="A783" s="179"/>
      <c r="B783" s="87" t="s">
        <v>722</v>
      </c>
      <c r="C783" s="37">
        <v>20</v>
      </c>
      <c r="D783" s="37"/>
      <c r="E783" s="41">
        <v>17.3</v>
      </c>
      <c r="F783" s="41">
        <v>1.1</v>
      </c>
      <c r="G783" s="41">
        <v>3.2</v>
      </c>
      <c r="H783" s="41">
        <v>12.9</v>
      </c>
      <c r="I783" s="47"/>
      <c r="J783" s="41">
        <v>12.9</v>
      </c>
      <c r="K783" s="40">
        <v>1058</v>
      </c>
      <c r="L783" s="39">
        <f t="shared" si="164"/>
        <v>0.012192816635160681</v>
      </c>
      <c r="M783" s="38">
        <v>234.1</v>
      </c>
      <c r="N783" s="38">
        <f t="shared" si="165"/>
        <v>2.8543383742911153</v>
      </c>
      <c r="O783" s="38">
        <f t="shared" si="163"/>
        <v>731.5689981096409</v>
      </c>
      <c r="P783" s="38">
        <f t="shared" si="166"/>
        <v>171.26030245746693</v>
      </c>
      <c r="R783" s="10"/>
      <c r="S783" s="10"/>
    </row>
    <row r="784" spans="1:19" s="9" customFormat="1" ht="12.75" customHeight="1">
      <c r="A784" s="179"/>
      <c r="B784" s="87" t="s">
        <v>211</v>
      </c>
      <c r="C784" s="37">
        <v>20</v>
      </c>
      <c r="D784" s="37">
        <v>1962</v>
      </c>
      <c r="E784" s="41">
        <v>12.671</v>
      </c>
      <c r="F784" s="41">
        <v>1.13475</v>
      </c>
      <c r="G784" s="41">
        <v>0.2</v>
      </c>
      <c r="H784" s="41">
        <f>E784-F784-G784</f>
        <v>11.33625</v>
      </c>
      <c r="I784" s="40">
        <v>927.86</v>
      </c>
      <c r="J784" s="41">
        <v>11.3363</v>
      </c>
      <c r="K784" s="40">
        <v>927.86</v>
      </c>
      <c r="L784" s="39">
        <f t="shared" si="164"/>
        <v>0.012217683702282671</v>
      </c>
      <c r="M784" s="38">
        <v>267.81</v>
      </c>
      <c r="N784" s="38">
        <f t="shared" si="165"/>
        <v>3.2720178723083224</v>
      </c>
      <c r="O784" s="38">
        <f t="shared" si="163"/>
        <v>733.0610221369602</v>
      </c>
      <c r="P784" s="38">
        <f t="shared" si="166"/>
        <v>196.3210723384993</v>
      </c>
      <c r="R784" s="10"/>
      <c r="S784" s="10"/>
    </row>
    <row r="785" spans="1:19" s="9" customFormat="1" ht="12.75" customHeight="1">
      <c r="A785" s="179"/>
      <c r="B785" s="87" t="s">
        <v>723</v>
      </c>
      <c r="C785" s="37">
        <v>20</v>
      </c>
      <c r="D785" s="37"/>
      <c r="E785" s="41">
        <v>18.1</v>
      </c>
      <c r="F785" s="41">
        <v>1.7</v>
      </c>
      <c r="G785" s="41">
        <v>3.2</v>
      </c>
      <c r="H785" s="41">
        <v>13.2</v>
      </c>
      <c r="I785" s="47"/>
      <c r="J785" s="41">
        <v>13.2</v>
      </c>
      <c r="K785" s="40">
        <v>1073</v>
      </c>
      <c r="L785" s="39">
        <f t="shared" si="164"/>
        <v>0.012301957129543337</v>
      </c>
      <c r="M785" s="38">
        <v>234.1</v>
      </c>
      <c r="N785" s="38">
        <f t="shared" si="165"/>
        <v>2.879888164026095</v>
      </c>
      <c r="O785" s="38">
        <f t="shared" si="163"/>
        <v>738.1174277726002</v>
      </c>
      <c r="P785" s="38">
        <f t="shared" si="166"/>
        <v>172.79328984156572</v>
      </c>
      <c r="R785" s="10"/>
      <c r="S785" s="10"/>
    </row>
    <row r="786" spans="1:19" s="9" customFormat="1" ht="12.75" customHeight="1">
      <c r="A786" s="179"/>
      <c r="B786" s="87" t="s">
        <v>696</v>
      </c>
      <c r="C786" s="37">
        <v>8</v>
      </c>
      <c r="D786" s="37" t="s">
        <v>692</v>
      </c>
      <c r="E786" s="41">
        <v>4.704</v>
      </c>
      <c r="F786" s="41">
        <v>0</v>
      </c>
      <c r="G786" s="41">
        <v>0</v>
      </c>
      <c r="H786" s="41">
        <v>4.704</v>
      </c>
      <c r="I786" s="47"/>
      <c r="J786" s="41">
        <f>H786</f>
        <v>4.704</v>
      </c>
      <c r="K786" s="40">
        <v>378.95</v>
      </c>
      <c r="L786" s="39">
        <f t="shared" si="164"/>
        <v>0.012413247130228263</v>
      </c>
      <c r="M786" s="38">
        <v>245.36</v>
      </c>
      <c r="N786" s="38">
        <f t="shared" si="165"/>
        <v>3.045714315872807</v>
      </c>
      <c r="O786" s="38">
        <f t="shared" si="163"/>
        <v>744.7948278136957</v>
      </c>
      <c r="P786" s="38">
        <f t="shared" si="166"/>
        <v>182.7428589523684</v>
      </c>
      <c r="R786" s="72"/>
      <c r="S786" s="10"/>
    </row>
    <row r="787" spans="1:19" s="9" customFormat="1" ht="12.75" customHeight="1">
      <c r="A787" s="179"/>
      <c r="B787" s="87" t="s">
        <v>571</v>
      </c>
      <c r="C787" s="37">
        <v>9</v>
      </c>
      <c r="D787" s="37" t="s">
        <v>31</v>
      </c>
      <c r="E787" s="41">
        <f>F787+G787+H787</f>
        <v>10.443999999999999</v>
      </c>
      <c r="F787" s="41">
        <v>1.0792</v>
      </c>
      <c r="G787" s="41">
        <v>1.44</v>
      </c>
      <c r="H787" s="41">
        <v>7.9248</v>
      </c>
      <c r="I787" s="40">
        <v>635.51</v>
      </c>
      <c r="J787" s="41">
        <v>7.9248</v>
      </c>
      <c r="K787" s="40">
        <v>635.51</v>
      </c>
      <c r="L787" s="39">
        <f t="shared" si="164"/>
        <v>0.012469984736668188</v>
      </c>
      <c r="M787" s="38">
        <v>206.4</v>
      </c>
      <c r="N787" s="38">
        <f t="shared" si="165"/>
        <v>2.573804849648314</v>
      </c>
      <c r="O787" s="38">
        <f>L787*1000*60</f>
        <v>748.1990842000913</v>
      </c>
      <c r="P787" s="38">
        <f>N787*60</f>
        <v>154.42829097889884</v>
      </c>
      <c r="R787" s="10"/>
      <c r="S787" s="10"/>
    </row>
    <row r="788" spans="1:19" s="9" customFormat="1" ht="13.5" customHeight="1">
      <c r="A788" s="179"/>
      <c r="B788" s="87" t="s">
        <v>724</v>
      </c>
      <c r="C788" s="37">
        <v>20</v>
      </c>
      <c r="D788" s="37"/>
      <c r="E788" s="41">
        <v>18.5</v>
      </c>
      <c r="F788" s="41">
        <v>2.29</v>
      </c>
      <c r="G788" s="41">
        <v>3.2</v>
      </c>
      <c r="H788" s="41">
        <v>13</v>
      </c>
      <c r="I788" s="47"/>
      <c r="J788" s="41">
        <v>13</v>
      </c>
      <c r="K788" s="40">
        <v>1034</v>
      </c>
      <c r="L788" s="39">
        <f t="shared" si="164"/>
        <v>0.012572533849129593</v>
      </c>
      <c r="M788" s="38">
        <v>234.1</v>
      </c>
      <c r="N788" s="38">
        <f t="shared" si="165"/>
        <v>2.9432301740812377</v>
      </c>
      <c r="O788" s="38">
        <f>L788*60*1000</f>
        <v>754.3520309477756</v>
      </c>
      <c r="P788" s="38">
        <f>O788*M788/1000</f>
        <v>176.59381044487426</v>
      </c>
      <c r="Q788" s="11"/>
      <c r="R788" s="10"/>
      <c r="S788" s="10"/>
    </row>
    <row r="789" spans="1:19" s="9" customFormat="1" ht="12.75" customHeight="1">
      <c r="A789" s="179"/>
      <c r="B789" s="87" t="s">
        <v>594</v>
      </c>
      <c r="C789" s="37">
        <v>15</v>
      </c>
      <c r="D789" s="37">
        <v>1992</v>
      </c>
      <c r="E789" s="41">
        <v>15.5</v>
      </c>
      <c r="F789" s="41">
        <v>2.3243</v>
      </c>
      <c r="G789" s="41">
        <v>2.32</v>
      </c>
      <c r="H789" s="41">
        <f>E789-F789-G789</f>
        <v>10.855699999999999</v>
      </c>
      <c r="I789" s="40">
        <v>861.65</v>
      </c>
      <c r="J789" s="41">
        <v>10.8557</v>
      </c>
      <c r="K789" s="40">
        <v>861.65</v>
      </c>
      <c r="L789" s="39">
        <f t="shared" si="164"/>
        <v>0.01259873498520281</v>
      </c>
      <c r="M789" s="38">
        <v>243.179</v>
      </c>
      <c r="N789" s="38">
        <f t="shared" si="165"/>
        <v>3.063747774966634</v>
      </c>
      <c r="O789" s="38">
        <f>L789*1000*60</f>
        <v>755.9240991121686</v>
      </c>
      <c r="P789" s="38">
        <f>N789*60</f>
        <v>183.82486649799804</v>
      </c>
      <c r="Q789" s="11"/>
      <c r="R789" s="10"/>
      <c r="S789" s="10"/>
    </row>
    <row r="790" spans="1:19" s="9" customFormat="1" ht="12.75" customHeight="1">
      <c r="A790" s="179"/>
      <c r="B790" s="87" t="s">
        <v>652</v>
      </c>
      <c r="C790" s="37">
        <v>42</v>
      </c>
      <c r="D790" s="37" t="s">
        <v>31</v>
      </c>
      <c r="E790" s="41">
        <f>SUM(F790:H790)</f>
        <v>18.2</v>
      </c>
      <c r="F790" s="41">
        <v>1.9</v>
      </c>
      <c r="G790" s="41">
        <v>0.4</v>
      </c>
      <c r="H790" s="41">
        <v>15.9</v>
      </c>
      <c r="I790" s="40">
        <v>1469.95</v>
      </c>
      <c r="J790" s="41">
        <v>13.8</v>
      </c>
      <c r="K790" s="40">
        <v>1078.77</v>
      </c>
      <c r="L790" s="176">
        <f t="shared" si="164"/>
        <v>0.012792346839456048</v>
      </c>
      <c r="M790" s="63">
        <v>209.8</v>
      </c>
      <c r="N790" s="177">
        <f t="shared" si="165"/>
        <v>2.683834366917879</v>
      </c>
      <c r="O790" s="177">
        <f aca="true" t="shared" si="167" ref="O790:O796">L790*60*1000</f>
        <v>767.5408103673628</v>
      </c>
      <c r="P790" s="177">
        <f>O790*M790/1000</f>
        <v>161.03006201507273</v>
      </c>
      <c r="R790" s="10"/>
      <c r="S790" s="10"/>
    </row>
    <row r="791" spans="1:19" s="9" customFormat="1" ht="12.75">
      <c r="A791" s="179"/>
      <c r="B791" s="87" t="s">
        <v>725</v>
      </c>
      <c r="C791" s="37">
        <v>20</v>
      </c>
      <c r="D791" s="37"/>
      <c r="E791" s="41">
        <v>17.4</v>
      </c>
      <c r="F791" s="41">
        <v>1.88</v>
      </c>
      <c r="G791" s="41">
        <v>3.2</v>
      </c>
      <c r="H791" s="41">
        <v>12.3</v>
      </c>
      <c r="I791" s="47"/>
      <c r="J791" s="41">
        <v>13.3</v>
      </c>
      <c r="K791" s="40">
        <v>1037</v>
      </c>
      <c r="L791" s="39">
        <f t="shared" si="164"/>
        <v>0.01282545805207329</v>
      </c>
      <c r="M791" s="38">
        <v>234.1</v>
      </c>
      <c r="N791" s="38">
        <f t="shared" si="165"/>
        <v>3.002439729990357</v>
      </c>
      <c r="O791" s="38">
        <f t="shared" si="167"/>
        <v>769.5274831243973</v>
      </c>
      <c r="P791" s="38">
        <f>O791*M791/1000</f>
        <v>180.14638379942141</v>
      </c>
      <c r="R791" s="10"/>
      <c r="S791" s="10"/>
    </row>
    <row r="792" spans="1:19" s="9" customFormat="1" ht="12.75">
      <c r="A792" s="179"/>
      <c r="B792" s="87" t="s">
        <v>212</v>
      </c>
      <c r="C792" s="37">
        <v>80</v>
      </c>
      <c r="D792" s="37">
        <v>1961</v>
      </c>
      <c r="E792" s="41">
        <v>23.177</v>
      </c>
      <c r="F792" s="41">
        <v>5.065</v>
      </c>
      <c r="G792" s="41">
        <v>0.8</v>
      </c>
      <c r="H792" s="41">
        <f>E792-F792-G792</f>
        <v>17.311999999999998</v>
      </c>
      <c r="I792" s="40">
        <v>1344.76</v>
      </c>
      <c r="J792" s="41">
        <v>17.312</v>
      </c>
      <c r="K792" s="40">
        <v>1344.76</v>
      </c>
      <c r="L792" s="39">
        <f t="shared" si="164"/>
        <v>0.01287367262559862</v>
      </c>
      <c r="M792" s="38">
        <v>267.81</v>
      </c>
      <c r="N792" s="38">
        <f t="shared" si="165"/>
        <v>3.4476982658615665</v>
      </c>
      <c r="O792" s="38">
        <f t="shared" si="167"/>
        <v>772.4203575359172</v>
      </c>
      <c r="P792" s="38">
        <f>O792*M792/1000</f>
        <v>206.86189595169398</v>
      </c>
      <c r="Q792" s="11"/>
      <c r="R792" s="10"/>
      <c r="S792" s="10"/>
    </row>
    <row r="793" spans="1:19" s="9" customFormat="1" ht="12.75">
      <c r="A793" s="179"/>
      <c r="B793" s="119" t="s">
        <v>869</v>
      </c>
      <c r="C793" s="64">
        <v>4</v>
      </c>
      <c r="D793" s="64" t="s">
        <v>31</v>
      </c>
      <c r="E793" s="41">
        <v>2.691</v>
      </c>
      <c r="F793" s="41">
        <f>7.75*0.051</f>
        <v>0.39525</v>
      </c>
      <c r="G793" s="41">
        <f>2*0.16</f>
        <v>0.32</v>
      </c>
      <c r="H793" s="41">
        <f>+E793-F793-G793</f>
        <v>1.97575</v>
      </c>
      <c r="I793" s="47"/>
      <c r="J793" s="41">
        <f>+H793</f>
        <v>1.97575</v>
      </c>
      <c r="K793" s="40">
        <v>151.85</v>
      </c>
      <c r="L793" s="39">
        <f t="shared" si="164"/>
        <v>0.013011195258478762</v>
      </c>
      <c r="M793" s="38">
        <v>347.8</v>
      </c>
      <c r="N793" s="38">
        <f t="shared" si="165"/>
        <v>4.5252937108989135</v>
      </c>
      <c r="O793" s="38">
        <f t="shared" si="167"/>
        <v>780.6717155087257</v>
      </c>
      <c r="P793" s="38">
        <f>O793*M793/1000</f>
        <v>271.51762265393484</v>
      </c>
      <c r="Q793" s="11"/>
      <c r="R793" s="10"/>
      <c r="S793" s="10"/>
    </row>
    <row r="794" spans="1:19" s="9" customFormat="1" ht="12.75">
      <c r="A794" s="179"/>
      <c r="B794" s="87" t="s">
        <v>71</v>
      </c>
      <c r="C794" s="37">
        <v>4</v>
      </c>
      <c r="D794" s="37">
        <v>1963</v>
      </c>
      <c r="E794" s="41">
        <v>2.3272</v>
      </c>
      <c r="F794" s="41">
        <v>0.32208</v>
      </c>
      <c r="G794" s="41">
        <v>0.039784</v>
      </c>
      <c r="H794" s="41">
        <v>1.965336</v>
      </c>
      <c r="I794" s="40">
        <v>150.99</v>
      </c>
      <c r="J794" s="41">
        <f>H794</f>
        <v>1.965336</v>
      </c>
      <c r="K794" s="40">
        <v>150.99</v>
      </c>
      <c r="L794" s="39">
        <f t="shared" si="164"/>
        <v>0.013016332207430955</v>
      </c>
      <c r="M794" s="38">
        <v>307.38</v>
      </c>
      <c r="N794" s="38">
        <f t="shared" si="165"/>
        <v>4.000960193920127</v>
      </c>
      <c r="O794" s="38">
        <f t="shared" si="167"/>
        <v>780.9799324458572</v>
      </c>
      <c r="P794" s="38">
        <f>N794*60</f>
        <v>240.05761163520762</v>
      </c>
      <c r="R794" s="10"/>
      <c r="S794" s="10"/>
    </row>
    <row r="795" spans="1:19" s="9" customFormat="1" ht="12.75">
      <c r="A795" s="179"/>
      <c r="B795" s="87" t="s">
        <v>671</v>
      </c>
      <c r="C795" s="37">
        <v>8</v>
      </c>
      <c r="D795" s="37">
        <v>1959</v>
      </c>
      <c r="E795" s="41">
        <v>4.832</v>
      </c>
      <c r="F795" s="41">
        <v>0.255</v>
      </c>
      <c r="G795" s="41">
        <v>1.2</v>
      </c>
      <c r="H795" s="41">
        <v>3.377</v>
      </c>
      <c r="I795" s="40">
        <v>366.96</v>
      </c>
      <c r="J795" s="41">
        <v>4.8</v>
      </c>
      <c r="K795" s="40">
        <v>367</v>
      </c>
      <c r="L795" s="39">
        <f t="shared" si="164"/>
        <v>0.013079019073569481</v>
      </c>
      <c r="M795" s="38">
        <v>225</v>
      </c>
      <c r="N795" s="38">
        <f t="shared" si="165"/>
        <v>2.9427792915531334</v>
      </c>
      <c r="O795" s="38">
        <f t="shared" si="167"/>
        <v>784.7411444141688</v>
      </c>
      <c r="P795" s="38">
        <f>O795*M795/1000</f>
        <v>176.566757493188</v>
      </c>
      <c r="R795" s="10"/>
      <c r="S795" s="10"/>
    </row>
    <row r="796" spans="1:19" s="9" customFormat="1" ht="12.75">
      <c r="A796" s="179"/>
      <c r="B796" s="87" t="s">
        <v>764</v>
      </c>
      <c r="C796" s="37">
        <v>9</v>
      </c>
      <c r="D796" s="37" t="s">
        <v>31</v>
      </c>
      <c r="E796" s="41">
        <f>F796+G796+H796</f>
        <v>10.865</v>
      </c>
      <c r="F796" s="41">
        <v>0.378</v>
      </c>
      <c r="G796" s="41">
        <v>1.84</v>
      </c>
      <c r="H796" s="41">
        <v>8.647</v>
      </c>
      <c r="I796" s="40">
        <v>775.39</v>
      </c>
      <c r="J796" s="41">
        <v>5.61</v>
      </c>
      <c r="K796" s="40">
        <v>426.62</v>
      </c>
      <c r="L796" s="39">
        <f t="shared" si="164"/>
        <v>0.013149875767662089</v>
      </c>
      <c r="M796" s="37">
        <v>361.99</v>
      </c>
      <c r="N796" s="38">
        <f t="shared" si="165"/>
        <v>4.760123529135999</v>
      </c>
      <c r="O796" s="38">
        <f t="shared" si="167"/>
        <v>788.9925460597253</v>
      </c>
      <c r="P796" s="38">
        <f>O796*M796/1000</f>
        <v>285.60741174815996</v>
      </c>
      <c r="R796" s="10"/>
      <c r="S796" s="10"/>
    </row>
    <row r="797" spans="1:19" s="9" customFormat="1" ht="12.75">
      <c r="A797" s="179"/>
      <c r="B797" s="87" t="s">
        <v>595</v>
      </c>
      <c r="C797" s="37">
        <v>7</v>
      </c>
      <c r="D797" s="37">
        <v>1955</v>
      </c>
      <c r="E797" s="41">
        <v>4.29</v>
      </c>
      <c r="F797" s="41"/>
      <c r="G797" s="41"/>
      <c r="H797" s="41">
        <f>E797-F797-G797</f>
        <v>4.29</v>
      </c>
      <c r="I797" s="40">
        <v>326.22</v>
      </c>
      <c r="J797" s="41">
        <v>4.29</v>
      </c>
      <c r="K797" s="40">
        <v>326.22</v>
      </c>
      <c r="L797" s="39">
        <f t="shared" si="164"/>
        <v>0.013150634541107228</v>
      </c>
      <c r="M797" s="38">
        <v>243.179</v>
      </c>
      <c r="N797" s="38">
        <f t="shared" si="165"/>
        <v>3.1979581570719144</v>
      </c>
      <c r="O797" s="38">
        <f>L797*1000*60</f>
        <v>789.0380724664337</v>
      </c>
      <c r="P797" s="38">
        <f>N797*60</f>
        <v>191.87748942431486</v>
      </c>
      <c r="R797" s="10"/>
      <c r="S797" s="10"/>
    </row>
    <row r="798" spans="1:19" s="9" customFormat="1" ht="12.75">
      <c r="A798" s="179"/>
      <c r="B798" s="87" t="s">
        <v>835</v>
      </c>
      <c r="C798" s="37">
        <v>34</v>
      </c>
      <c r="D798" s="37">
        <v>1964</v>
      </c>
      <c r="E798" s="41">
        <f>SUM(F798+G798+H798)</f>
        <v>16.2</v>
      </c>
      <c r="F798" s="41">
        <v>1.5</v>
      </c>
      <c r="G798" s="41">
        <v>0.2</v>
      </c>
      <c r="H798" s="41">
        <v>14.5</v>
      </c>
      <c r="I798" s="40">
        <v>1101.75</v>
      </c>
      <c r="J798" s="41">
        <v>14.5</v>
      </c>
      <c r="K798" s="40">
        <v>1101.8</v>
      </c>
      <c r="L798" s="39">
        <f>SUM(J798/K798)</f>
        <v>0.013160283172989654</v>
      </c>
      <c r="M798" s="38">
        <v>214.3</v>
      </c>
      <c r="N798" s="38">
        <f>SUM(L798*M798)</f>
        <v>2.820248683971683</v>
      </c>
      <c r="O798" s="38">
        <f aca="true" t="shared" si="168" ref="O798:O816">L798*60*1000</f>
        <v>789.6169903793792</v>
      </c>
      <c r="P798" s="38">
        <f>SUM(N798*60)</f>
        <v>169.214921038301</v>
      </c>
      <c r="R798" s="10"/>
      <c r="S798" s="10"/>
    </row>
    <row r="799" spans="1:16" s="9" customFormat="1" ht="12.75" customHeight="1">
      <c r="A799" s="179"/>
      <c r="B799" s="119" t="s">
        <v>281</v>
      </c>
      <c r="C799" s="64">
        <v>11</v>
      </c>
      <c r="D799" s="64">
        <v>1961</v>
      </c>
      <c r="E799" s="41">
        <v>7.521</v>
      </c>
      <c r="F799" s="41">
        <v>0.51</v>
      </c>
      <c r="G799" s="41">
        <v>0.11</v>
      </c>
      <c r="H799" s="41">
        <v>6.901</v>
      </c>
      <c r="I799" s="40">
        <v>524.32</v>
      </c>
      <c r="J799" s="41">
        <v>6.25</v>
      </c>
      <c r="K799" s="40">
        <v>474.9</v>
      </c>
      <c r="L799" s="39">
        <f aca="true" t="shared" si="169" ref="L799:L812">J799/K799</f>
        <v>0.013160665403242788</v>
      </c>
      <c r="M799" s="38">
        <v>343.459</v>
      </c>
      <c r="N799" s="38">
        <f aca="true" t="shared" si="170" ref="N799:N812">L799*M799</f>
        <v>4.520148978732365</v>
      </c>
      <c r="O799" s="38">
        <f t="shared" si="168"/>
        <v>789.6399241945674</v>
      </c>
      <c r="P799" s="38">
        <f aca="true" t="shared" si="171" ref="P799:P811">O799*M799/1000</f>
        <v>271.2089387239419</v>
      </c>
    </row>
    <row r="800" spans="1:19" s="9" customFormat="1" ht="12.75" customHeight="1">
      <c r="A800" s="179"/>
      <c r="B800" s="87" t="s">
        <v>213</v>
      </c>
      <c r="C800" s="37">
        <v>8</v>
      </c>
      <c r="D800" s="37">
        <v>1926</v>
      </c>
      <c r="E800" s="41">
        <v>4.458</v>
      </c>
      <c r="F800" s="41">
        <v>0.309</v>
      </c>
      <c r="G800" s="41">
        <v>0.8</v>
      </c>
      <c r="H800" s="41">
        <f>E800-F800-G800</f>
        <v>3.349</v>
      </c>
      <c r="I800" s="40">
        <v>254.15</v>
      </c>
      <c r="J800" s="41">
        <v>2.56</v>
      </c>
      <c r="K800" s="40">
        <v>194.28</v>
      </c>
      <c r="L800" s="39">
        <f t="shared" si="169"/>
        <v>0.013176858142886556</v>
      </c>
      <c r="M800" s="38">
        <v>267.81</v>
      </c>
      <c r="N800" s="38">
        <f t="shared" si="170"/>
        <v>3.5288943792464487</v>
      </c>
      <c r="O800" s="38">
        <f t="shared" si="168"/>
        <v>790.6114885731934</v>
      </c>
      <c r="P800" s="38">
        <f t="shared" si="171"/>
        <v>211.73366275478693</v>
      </c>
      <c r="Q800" s="11"/>
      <c r="R800" s="10"/>
      <c r="S800" s="10"/>
    </row>
    <row r="801" spans="1:19" s="9" customFormat="1" ht="12.75">
      <c r="A801" s="179"/>
      <c r="B801" s="87" t="s">
        <v>777</v>
      </c>
      <c r="C801" s="37">
        <v>22</v>
      </c>
      <c r="D801" s="37" t="s">
        <v>534</v>
      </c>
      <c r="E801" s="41">
        <f>+F801+G801+H801</f>
        <v>11.48</v>
      </c>
      <c r="F801" s="41">
        <v>0</v>
      </c>
      <c r="G801" s="41">
        <v>0</v>
      </c>
      <c r="H801" s="41">
        <v>11.48</v>
      </c>
      <c r="I801" s="40">
        <v>867.78</v>
      </c>
      <c r="J801" s="41">
        <v>11.48</v>
      </c>
      <c r="K801" s="40">
        <v>867.78</v>
      </c>
      <c r="L801" s="39">
        <f t="shared" si="169"/>
        <v>0.013229159464380373</v>
      </c>
      <c r="M801" s="38">
        <v>276.9</v>
      </c>
      <c r="N801" s="38">
        <f t="shared" si="170"/>
        <v>3.663154255686925</v>
      </c>
      <c r="O801" s="38">
        <f t="shared" si="168"/>
        <v>793.7495678628223</v>
      </c>
      <c r="P801" s="38">
        <f t="shared" si="171"/>
        <v>219.7892553412155</v>
      </c>
      <c r="R801" s="10"/>
      <c r="S801" s="10"/>
    </row>
    <row r="802" spans="1:19" s="9" customFormat="1" ht="12.75">
      <c r="A802" s="179"/>
      <c r="B802" s="87" t="s">
        <v>672</v>
      </c>
      <c r="C802" s="37">
        <v>10</v>
      </c>
      <c r="D802" s="37"/>
      <c r="E802" s="41">
        <v>7.3</v>
      </c>
      <c r="F802" s="41">
        <v>0.611</v>
      </c>
      <c r="G802" s="41">
        <v>1.6</v>
      </c>
      <c r="H802" s="41">
        <v>5.089</v>
      </c>
      <c r="I802" s="40">
        <v>548.41</v>
      </c>
      <c r="J802" s="41">
        <v>7.3</v>
      </c>
      <c r="K802" s="40">
        <v>548.4</v>
      </c>
      <c r="L802" s="39">
        <f t="shared" si="169"/>
        <v>0.013311451495258935</v>
      </c>
      <c r="M802" s="38">
        <v>225</v>
      </c>
      <c r="N802" s="38">
        <f t="shared" si="170"/>
        <v>2.9950765864332602</v>
      </c>
      <c r="O802" s="38">
        <f t="shared" si="168"/>
        <v>798.687089715536</v>
      </c>
      <c r="P802" s="38">
        <f t="shared" si="171"/>
        <v>179.7045951859956</v>
      </c>
      <c r="R802" s="10"/>
      <c r="S802" s="10"/>
    </row>
    <row r="803" spans="1:19" s="9" customFormat="1" ht="12.75">
      <c r="A803" s="179"/>
      <c r="B803" s="87" t="s">
        <v>673</v>
      </c>
      <c r="C803" s="37">
        <v>10</v>
      </c>
      <c r="D803" s="37">
        <v>1976</v>
      </c>
      <c r="E803" s="41">
        <v>5.5</v>
      </c>
      <c r="F803" s="41">
        <v>0.153</v>
      </c>
      <c r="G803" s="41">
        <v>0</v>
      </c>
      <c r="H803" s="41">
        <v>5.347</v>
      </c>
      <c r="I803" s="40">
        <v>411.49</v>
      </c>
      <c r="J803" s="41">
        <v>5.5</v>
      </c>
      <c r="K803" s="40">
        <v>411.5</v>
      </c>
      <c r="L803" s="39">
        <f t="shared" si="169"/>
        <v>0.013365735115431349</v>
      </c>
      <c r="M803" s="38">
        <v>225</v>
      </c>
      <c r="N803" s="38">
        <f t="shared" si="170"/>
        <v>3.0072904009720536</v>
      </c>
      <c r="O803" s="38">
        <f t="shared" si="168"/>
        <v>801.9441069258809</v>
      </c>
      <c r="P803" s="38">
        <f t="shared" si="171"/>
        <v>180.4374240583232</v>
      </c>
      <c r="Q803" s="11"/>
      <c r="R803" s="10"/>
      <c r="S803" s="10"/>
    </row>
    <row r="804" spans="1:19" s="9" customFormat="1" ht="12.75">
      <c r="A804" s="179"/>
      <c r="B804" s="87" t="s">
        <v>778</v>
      </c>
      <c r="C804" s="37">
        <v>12</v>
      </c>
      <c r="D804" s="37" t="s">
        <v>534</v>
      </c>
      <c r="E804" s="41">
        <f>+F804+G804+H804</f>
        <v>8.55399</v>
      </c>
      <c r="F804" s="41">
        <v>0.43</v>
      </c>
      <c r="G804" s="41">
        <v>1.04</v>
      </c>
      <c r="H804" s="41">
        <v>7.08399</v>
      </c>
      <c r="I804" s="40">
        <v>529.87</v>
      </c>
      <c r="J804" s="41">
        <v>7.08399</v>
      </c>
      <c r="K804" s="40">
        <v>529.87</v>
      </c>
      <c r="L804" s="39">
        <f t="shared" si="169"/>
        <v>0.013369298129729933</v>
      </c>
      <c r="M804" s="38">
        <v>276.9</v>
      </c>
      <c r="N804" s="38">
        <f t="shared" si="170"/>
        <v>3.7019586521222183</v>
      </c>
      <c r="O804" s="38">
        <f t="shared" si="168"/>
        <v>802.157887783796</v>
      </c>
      <c r="P804" s="38">
        <f t="shared" si="171"/>
        <v>222.1175191273331</v>
      </c>
      <c r="Q804" s="11"/>
      <c r="R804" s="10"/>
      <c r="S804" s="10"/>
    </row>
    <row r="805" spans="1:19" s="9" customFormat="1" ht="12.75">
      <c r="A805" s="179"/>
      <c r="B805" s="87" t="s">
        <v>674</v>
      </c>
      <c r="C805" s="37">
        <v>21</v>
      </c>
      <c r="D805" s="37">
        <v>1960</v>
      </c>
      <c r="E805" s="41">
        <v>15</v>
      </c>
      <c r="F805" s="41">
        <v>1.732</v>
      </c>
      <c r="G805" s="41">
        <v>3.002</v>
      </c>
      <c r="H805" s="41">
        <v>10.266</v>
      </c>
      <c r="I805" s="40">
        <v>1114.27</v>
      </c>
      <c r="J805" s="41">
        <v>15</v>
      </c>
      <c r="K805" s="40">
        <v>1114.3</v>
      </c>
      <c r="L805" s="39">
        <f t="shared" si="169"/>
        <v>0.013461365879924617</v>
      </c>
      <c r="M805" s="38">
        <v>225</v>
      </c>
      <c r="N805" s="38">
        <f t="shared" si="170"/>
        <v>3.028807322983039</v>
      </c>
      <c r="O805" s="38">
        <f t="shared" si="168"/>
        <v>807.6819527954771</v>
      </c>
      <c r="P805" s="38">
        <f t="shared" si="171"/>
        <v>181.72843937898236</v>
      </c>
      <c r="R805" s="10"/>
      <c r="S805" s="10"/>
    </row>
    <row r="806" spans="1:19" s="9" customFormat="1" ht="12.75">
      <c r="A806" s="179"/>
      <c r="B806" s="87" t="s">
        <v>653</v>
      </c>
      <c r="C806" s="37">
        <v>4</v>
      </c>
      <c r="D806" s="37" t="s">
        <v>31</v>
      </c>
      <c r="E806" s="41">
        <f>SUM(F806:H806)</f>
        <v>4.93</v>
      </c>
      <c r="F806" s="41">
        <v>0.7</v>
      </c>
      <c r="G806" s="41">
        <v>0.7</v>
      </c>
      <c r="H806" s="41">
        <v>3.53</v>
      </c>
      <c r="I806" s="40">
        <v>258.86</v>
      </c>
      <c r="J806" s="41">
        <v>3.5</v>
      </c>
      <c r="K806" s="40">
        <v>258.86</v>
      </c>
      <c r="L806" s="176">
        <f t="shared" si="169"/>
        <v>0.01352082206598161</v>
      </c>
      <c r="M806" s="63">
        <v>209.8</v>
      </c>
      <c r="N806" s="177">
        <f t="shared" si="170"/>
        <v>2.8366684694429423</v>
      </c>
      <c r="O806" s="177">
        <f t="shared" si="168"/>
        <v>811.2493239588968</v>
      </c>
      <c r="P806" s="177">
        <f t="shared" si="171"/>
        <v>170.20010816657654</v>
      </c>
      <c r="R806" s="10"/>
      <c r="S806" s="10"/>
    </row>
    <row r="807" spans="1:19" s="9" customFormat="1" ht="12.75">
      <c r="A807" s="179"/>
      <c r="B807" s="87" t="s">
        <v>214</v>
      </c>
      <c r="C807" s="37">
        <v>6</v>
      </c>
      <c r="D807" s="37">
        <v>1955</v>
      </c>
      <c r="E807" s="41">
        <v>3.572</v>
      </c>
      <c r="F807" s="41">
        <v>0.112</v>
      </c>
      <c r="G807" s="41">
        <v>0.06</v>
      </c>
      <c r="H807" s="41">
        <f>E807-F807-G807</f>
        <v>3.4</v>
      </c>
      <c r="I807" s="40">
        <v>249.66</v>
      </c>
      <c r="J807" s="41">
        <v>2.811</v>
      </c>
      <c r="K807" s="40">
        <v>206.48</v>
      </c>
      <c r="L807" s="39">
        <f t="shared" si="169"/>
        <v>0.013613909337466099</v>
      </c>
      <c r="M807" s="38">
        <v>267.81</v>
      </c>
      <c r="N807" s="38">
        <f t="shared" si="170"/>
        <v>3.645941059666796</v>
      </c>
      <c r="O807" s="38">
        <f t="shared" si="168"/>
        <v>816.834560247966</v>
      </c>
      <c r="P807" s="38">
        <f t="shared" si="171"/>
        <v>218.7564635800078</v>
      </c>
      <c r="R807" s="10"/>
      <c r="S807" s="10"/>
    </row>
    <row r="808" spans="1:19" s="9" customFormat="1" ht="12.75">
      <c r="A808" s="179"/>
      <c r="B808" s="87" t="s">
        <v>215</v>
      </c>
      <c r="C808" s="37">
        <v>6</v>
      </c>
      <c r="D808" s="37">
        <v>1959</v>
      </c>
      <c r="E808" s="41">
        <v>3.03</v>
      </c>
      <c r="F808" s="41">
        <v>0.337</v>
      </c>
      <c r="G808" s="41">
        <v>0.06</v>
      </c>
      <c r="H808" s="41">
        <f>E808-F808-G808</f>
        <v>2.6329999999999996</v>
      </c>
      <c r="I808" s="40">
        <v>225.86</v>
      </c>
      <c r="J808" s="41">
        <v>2.031</v>
      </c>
      <c r="K808" s="40">
        <v>149.18</v>
      </c>
      <c r="L808" s="39">
        <f t="shared" si="169"/>
        <v>0.013614425526209948</v>
      </c>
      <c r="M808" s="38">
        <v>267.81</v>
      </c>
      <c r="N808" s="38">
        <f t="shared" si="170"/>
        <v>3.646079300174286</v>
      </c>
      <c r="O808" s="38">
        <f t="shared" si="168"/>
        <v>816.8655315725969</v>
      </c>
      <c r="P808" s="38">
        <f t="shared" si="171"/>
        <v>218.76475801045717</v>
      </c>
      <c r="R808" s="10"/>
      <c r="S808" s="10"/>
    </row>
    <row r="809" spans="1:19" s="9" customFormat="1" ht="12.75">
      <c r="A809" s="179"/>
      <c r="B809" s="87" t="s">
        <v>112</v>
      </c>
      <c r="C809" s="37">
        <v>63</v>
      </c>
      <c r="D809" s="37">
        <v>1960</v>
      </c>
      <c r="E809" s="41">
        <v>16.94</v>
      </c>
      <c r="F809" s="41">
        <v>4.27</v>
      </c>
      <c r="G809" s="41"/>
      <c r="H809" s="41">
        <f>E809-F809-G809</f>
        <v>12.670000000000002</v>
      </c>
      <c r="I809" s="40">
        <v>924</v>
      </c>
      <c r="J809" s="41">
        <f>H809/I809*K809</f>
        <v>12.478030303030305</v>
      </c>
      <c r="K809" s="37">
        <v>910</v>
      </c>
      <c r="L809" s="39">
        <f t="shared" si="169"/>
        <v>0.013712121212121215</v>
      </c>
      <c r="M809" s="38">
        <v>332.56</v>
      </c>
      <c r="N809" s="38">
        <f t="shared" si="170"/>
        <v>4.560103030303031</v>
      </c>
      <c r="O809" s="38">
        <f t="shared" si="168"/>
        <v>822.727272727273</v>
      </c>
      <c r="P809" s="38">
        <f t="shared" si="171"/>
        <v>273.6061818181819</v>
      </c>
      <c r="R809" s="10"/>
      <c r="S809" s="10"/>
    </row>
    <row r="810" spans="1:19" s="9" customFormat="1" ht="12.75" customHeight="1">
      <c r="A810" s="179"/>
      <c r="B810" s="87" t="s">
        <v>675</v>
      </c>
      <c r="C810" s="37">
        <v>25</v>
      </c>
      <c r="D810" s="37">
        <v>1986</v>
      </c>
      <c r="E810" s="41">
        <v>17</v>
      </c>
      <c r="F810" s="41">
        <v>2.03</v>
      </c>
      <c r="G810" s="41">
        <v>3.603</v>
      </c>
      <c r="H810" s="41">
        <v>11.367</v>
      </c>
      <c r="I810" s="40">
        <v>1235.86</v>
      </c>
      <c r="J810" s="41">
        <v>17</v>
      </c>
      <c r="K810" s="40">
        <v>1235.9</v>
      </c>
      <c r="L810" s="39">
        <f t="shared" si="169"/>
        <v>0.013755158184319119</v>
      </c>
      <c r="M810" s="38">
        <v>225</v>
      </c>
      <c r="N810" s="38">
        <f t="shared" si="170"/>
        <v>3.094910591471802</v>
      </c>
      <c r="O810" s="38">
        <f t="shared" si="168"/>
        <v>825.3094910591471</v>
      </c>
      <c r="P810" s="38">
        <f t="shared" si="171"/>
        <v>185.6946354883081</v>
      </c>
      <c r="R810" s="10"/>
      <c r="S810" s="10"/>
    </row>
    <row r="811" spans="1:19" s="9" customFormat="1" ht="12.75">
      <c r="A811" s="179"/>
      <c r="B811" s="87" t="s">
        <v>676</v>
      </c>
      <c r="C811" s="37">
        <v>52</v>
      </c>
      <c r="D811" s="37">
        <v>1976</v>
      </c>
      <c r="E811" s="41">
        <v>21.55</v>
      </c>
      <c r="F811" s="41">
        <v>5.533</v>
      </c>
      <c r="G811" s="41">
        <v>0.49</v>
      </c>
      <c r="H811" s="41">
        <v>15.527</v>
      </c>
      <c r="I811" s="40">
        <v>1558.56</v>
      </c>
      <c r="J811" s="41">
        <v>21.6</v>
      </c>
      <c r="K811" s="40">
        <v>1558.6</v>
      </c>
      <c r="L811" s="39">
        <f t="shared" si="169"/>
        <v>0.013858591043243938</v>
      </c>
      <c r="M811" s="38">
        <v>225</v>
      </c>
      <c r="N811" s="38">
        <f t="shared" si="170"/>
        <v>3.118182984729886</v>
      </c>
      <c r="O811" s="38">
        <f t="shared" si="168"/>
        <v>831.5154625946362</v>
      </c>
      <c r="P811" s="38">
        <f t="shared" si="171"/>
        <v>187.09097908379314</v>
      </c>
      <c r="R811" s="10"/>
      <c r="S811" s="10"/>
    </row>
    <row r="812" spans="1:19" s="9" customFormat="1" ht="12.75" customHeight="1">
      <c r="A812" s="179"/>
      <c r="B812" s="87" t="s">
        <v>72</v>
      </c>
      <c r="C812" s="37">
        <v>6</v>
      </c>
      <c r="D812" s="37">
        <v>1958</v>
      </c>
      <c r="E812" s="41">
        <v>5.115</v>
      </c>
      <c r="F812" s="41">
        <v>0.64416</v>
      </c>
      <c r="G812" s="41">
        <v>0.06</v>
      </c>
      <c r="H812" s="41">
        <v>4.410839</v>
      </c>
      <c r="I812" s="40">
        <v>310.34</v>
      </c>
      <c r="J812" s="41">
        <f>H812</f>
        <v>4.410839</v>
      </c>
      <c r="K812" s="40">
        <v>310.34</v>
      </c>
      <c r="L812" s="39">
        <f t="shared" si="169"/>
        <v>0.014212924534381648</v>
      </c>
      <c r="M812" s="38">
        <v>307.38</v>
      </c>
      <c r="N812" s="38">
        <f t="shared" si="170"/>
        <v>4.368768743378231</v>
      </c>
      <c r="O812" s="38">
        <f t="shared" si="168"/>
        <v>852.775472062899</v>
      </c>
      <c r="P812" s="38">
        <f>N812*60</f>
        <v>262.1261246026939</v>
      </c>
      <c r="Q812" s="11"/>
      <c r="R812" s="10"/>
      <c r="S812" s="10"/>
    </row>
    <row r="813" spans="1:19" s="9" customFormat="1" ht="12.75">
      <c r="A813" s="179"/>
      <c r="B813" s="87" t="s">
        <v>836</v>
      </c>
      <c r="C813" s="37">
        <v>6</v>
      </c>
      <c r="D813" s="37" t="s">
        <v>814</v>
      </c>
      <c r="E813" s="41">
        <f>SUM(F813+G813+H813)</f>
        <v>4.8</v>
      </c>
      <c r="F813" s="41">
        <v>0.3</v>
      </c>
      <c r="G813" s="41">
        <v>0.9</v>
      </c>
      <c r="H813" s="41">
        <v>3.6</v>
      </c>
      <c r="I813" s="40">
        <v>252.5</v>
      </c>
      <c r="J813" s="41">
        <v>3.6</v>
      </c>
      <c r="K813" s="40">
        <v>252.5</v>
      </c>
      <c r="L813" s="39">
        <f>SUM(J813/K813)</f>
        <v>0.014257425742574258</v>
      </c>
      <c r="M813" s="38">
        <v>214.3</v>
      </c>
      <c r="N813" s="38">
        <f>SUM(L813*M813)</f>
        <v>3.055366336633664</v>
      </c>
      <c r="O813" s="38">
        <f t="shared" si="168"/>
        <v>855.4455445544554</v>
      </c>
      <c r="P813" s="38">
        <f>SUM(N813*60)</f>
        <v>183.32198019801984</v>
      </c>
      <c r="Q813" s="11"/>
      <c r="R813" s="10"/>
      <c r="S813" s="10"/>
    </row>
    <row r="814" spans="1:19" s="9" customFormat="1" ht="12.75" customHeight="1">
      <c r="A814" s="179"/>
      <c r="B814" s="87" t="s">
        <v>677</v>
      </c>
      <c r="C814" s="37">
        <v>13</v>
      </c>
      <c r="D814" s="37">
        <v>1950</v>
      </c>
      <c r="E814" s="41">
        <v>8.438</v>
      </c>
      <c r="F814" s="41">
        <v>1.019</v>
      </c>
      <c r="G814" s="41">
        <v>1.84</v>
      </c>
      <c r="H814" s="41">
        <v>5.579</v>
      </c>
      <c r="I814" s="40">
        <v>580.31</v>
      </c>
      <c r="J814" s="41">
        <v>8.4</v>
      </c>
      <c r="K814" s="40">
        <v>580.3</v>
      </c>
      <c r="L814" s="39">
        <f aca="true" t="shared" si="172" ref="L814:L826">J814/K814</f>
        <v>0.014475271411338964</v>
      </c>
      <c r="M814" s="38">
        <v>225</v>
      </c>
      <c r="N814" s="38">
        <f aca="true" t="shared" si="173" ref="N814:N826">L814*M814</f>
        <v>3.256936067551267</v>
      </c>
      <c r="O814" s="38">
        <f t="shared" si="168"/>
        <v>868.5162846803378</v>
      </c>
      <c r="P814" s="38">
        <f>O814*M814/1000</f>
        <v>195.41616405307602</v>
      </c>
      <c r="R814" s="10"/>
      <c r="S814" s="10"/>
    </row>
    <row r="815" spans="1:19" s="9" customFormat="1" ht="12.75" customHeight="1">
      <c r="A815" s="179"/>
      <c r="B815" s="87" t="s">
        <v>678</v>
      </c>
      <c r="C815" s="37">
        <v>20</v>
      </c>
      <c r="D815" s="37">
        <v>1992</v>
      </c>
      <c r="E815" s="41">
        <v>15.999</v>
      </c>
      <c r="F815" s="41">
        <v>2.422</v>
      </c>
      <c r="G815" s="41">
        <v>3.002</v>
      </c>
      <c r="H815" s="41">
        <v>10.575</v>
      </c>
      <c r="I815" s="40">
        <v>1101.98</v>
      </c>
      <c r="J815" s="41">
        <v>16</v>
      </c>
      <c r="K815" s="40">
        <v>1102</v>
      </c>
      <c r="L815" s="39">
        <f t="shared" si="172"/>
        <v>0.014519056261343012</v>
      </c>
      <c r="M815" s="38">
        <v>225</v>
      </c>
      <c r="N815" s="38">
        <f t="shared" si="173"/>
        <v>3.2667876588021776</v>
      </c>
      <c r="O815" s="38">
        <f t="shared" si="168"/>
        <v>871.1433756805808</v>
      </c>
      <c r="P815" s="38">
        <f>O815*M815/1000</f>
        <v>196.00725952813067</v>
      </c>
      <c r="Q815" s="11"/>
      <c r="R815" s="10"/>
      <c r="S815" s="10"/>
    </row>
    <row r="816" spans="1:19" s="9" customFormat="1" ht="12.75" customHeight="1">
      <c r="A816" s="179"/>
      <c r="B816" s="87" t="s">
        <v>679</v>
      </c>
      <c r="C816" s="37">
        <v>25</v>
      </c>
      <c r="D816" s="37">
        <v>1988</v>
      </c>
      <c r="E816" s="41">
        <v>18</v>
      </c>
      <c r="F816" s="41">
        <v>2.405</v>
      </c>
      <c r="G816" s="41">
        <v>3.603</v>
      </c>
      <c r="H816" s="41">
        <v>11.992</v>
      </c>
      <c r="I816" s="40">
        <v>1235.36</v>
      </c>
      <c r="J816" s="41">
        <v>18</v>
      </c>
      <c r="K816" s="40">
        <v>1235.4</v>
      </c>
      <c r="L816" s="39">
        <f t="shared" si="172"/>
        <v>0.014570179698882952</v>
      </c>
      <c r="M816" s="38">
        <v>225</v>
      </c>
      <c r="N816" s="38">
        <f t="shared" si="173"/>
        <v>3.278290432248664</v>
      </c>
      <c r="O816" s="38">
        <f t="shared" si="168"/>
        <v>874.2107819329772</v>
      </c>
      <c r="P816" s="38">
        <f>O816*M816/1000</f>
        <v>196.69742593491986</v>
      </c>
      <c r="Q816" s="11"/>
      <c r="R816" s="10"/>
      <c r="S816" s="10"/>
    </row>
    <row r="817" spans="1:19" s="9" customFormat="1" ht="12.75" customHeight="1">
      <c r="A817" s="179"/>
      <c r="B817" s="87" t="s">
        <v>596</v>
      </c>
      <c r="C817" s="37">
        <v>24</v>
      </c>
      <c r="D817" s="37">
        <v>1961</v>
      </c>
      <c r="E817" s="41">
        <v>13.43</v>
      </c>
      <c r="F817" s="41"/>
      <c r="G817" s="41"/>
      <c r="H817" s="41">
        <f>E817-F817-G817</f>
        <v>13.43</v>
      </c>
      <c r="I817" s="40">
        <v>909.58</v>
      </c>
      <c r="J817" s="41">
        <v>13.43</v>
      </c>
      <c r="K817" s="40">
        <v>909.58</v>
      </c>
      <c r="L817" s="39">
        <f t="shared" si="172"/>
        <v>0.014765056399656983</v>
      </c>
      <c r="M817" s="38">
        <v>243.179</v>
      </c>
      <c r="N817" s="38">
        <f t="shared" si="173"/>
        <v>3.5905516502121855</v>
      </c>
      <c r="O817" s="38">
        <f>L817*1000*60</f>
        <v>885.903383979419</v>
      </c>
      <c r="P817" s="38">
        <f>N817*60</f>
        <v>215.43309901273113</v>
      </c>
      <c r="R817" s="10"/>
      <c r="S817" s="10"/>
    </row>
    <row r="818" spans="1:19" s="9" customFormat="1" ht="12.75" customHeight="1">
      <c r="A818" s="179"/>
      <c r="B818" s="87" t="s">
        <v>680</v>
      </c>
      <c r="C818" s="37">
        <v>19</v>
      </c>
      <c r="D818" s="37"/>
      <c r="E818" s="41">
        <v>17.2</v>
      </c>
      <c r="F818" s="41">
        <v>1.528</v>
      </c>
      <c r="G818" s="41">
        <v>2.88</v>
      </c>
      <c r="H818" s="41">
        <v>12.792</v>
      </c>
      <c r="I818" s="40">
        <v>1161.96</v>
      </c>
      <c r="J818" s="41">
        <v>17.2</v>
      </c>
      <c r="K818" s="40">
        <v>1162</v>
      </c>
      <c r="L818" s="39">
        <f t="shared" si="172"/>
        <v>0.014802065404475042</v>
      </c>
      <c r="M818" s="38">
        <v>225</v>
      </c>
      <c r="N818" s="38">
        <f t="shared" si="173"/>
        <v>3.3304647160068845</v>
      </c>
      <c r="O818" s="38">
        <f>L818*60*1000</f>
        <v>888.1239242685025</v>
      </c>
      <c r="P818" s="38">
        <f>O818*M818/1000</f>
        <v>199.82788296041306</v>
      </c>
      <c r="R818" s="10"/>
      <c r="S818" s="10"/>
    </row>
    <row r="819" spans="1:19" s="9" customFormat="1" ht="12.75" customHeight="1">
      <c r="A819" s="179"/>
      <c r="B819" s="87" t="s">
        <v>779</v>
      </c>
      <c r="C819" s="37">
        <v>12</v>
      </c>
      <c r="D819" s="37" t="s">
        <v>534</v>
      </c>
      <c r="E819" s="41">
        <f>+F819+G819+H819</f>
        <v>7.092882</v>
      </c>
      <c r="F819" s="41">
        <v>0</v>
      </c>
      <c r="G819" s="41">
        <v>0</v>
      </c>
      <c r="H819" s="41">
        <v>7.092882</v>
      </c>
      <c r="I819" s="40">
        <v>478.7</v>
      </c>
      <c r="J819" s="41">
        <v>7.092882</v>
      </c>
      <c r="K819" s="40">
        <v>478.7</v>
      </c>
      <c r="L819" s="39">
        <f t="shared" si="172"/>
        <v>0.014816966785042825</v>
      </c>
      <c r="M819" s="38">
        <v>276.9</v>
      </c>
      <c r="N819" s="38">
        <f t="shared" si="173"/>
        <v>4.102818102778358</v>
      </c>
      <c r="O819" s="38">
        <f>L819*60*1000</f>
        <v>889.0180071025695</v>
      </c>
      <c r="P819" s="38">
        <f>O819*M819/1000</f>
        <v>246.16908616670148</v>
      </c>
      <c r="Q819" s="11"/>
      <c r="R819" s="10"/>
      <c r="S819" s="10"/>
    </row>
    <row r="820" spans="1:19" s="9" customFormat="1" ht="12.75">
      <c r="A820" s="179"/>
      <c r="B820" s="87" t="s">
        <v>681</v>
      </c>
      <c r="C820" s="37">
        <v>14</v>
      </c>
      <c r="D820" s="37"/>
      <c r="E820" s="41">
        <v>8.181</v>
      </c>
      <c r="F820" s="41">
        <v>1.949</v>
      </c>
      <c r="G820" s="41">
        <v>0</v>
      </c>
      <c r="H820" s="41">
        <v>6.232</v>
      </c>
      <c r="I820" s="40">
        <v>551.79</v>
      </c>
      <c r="J820" s="41">
        <v>8.2</v>
      </c>
      <c r="K820" s="40">
        <v>551.8</v>
      </c>
      <c r="L820" s="39">
        <f t="shared" si="172"/>
        <v>0.014860456687205509</v>
      </c>
      <c r="M820" s="38">
        <v>225</v>
      </c>
      <c r="N820" s="38">
        <f t="shared" si="173"/>
        <v>3.3436027546212395</v>
      </c>
      <c r="O820" s="38">
        <f>L820*60*1000</f>
        <v>891.6274012323305</v>
      </c>
      <c r="P820" s="38">
        <f>O820*M820/1000</f>
        <v>200.61616527727435</v>
      </c>
      <c r="R820" s="10"/>
      <c r="S820" s="10"/>
    </row>
    <row r="821" spans="1:16" s="9" customFormat="1" ht="12.75" customHeight="1">
      <c r="A821" s="179"/>
      <c r="B821" s="87" t="s">
        <v>682</v>
      </c>
      <c r="C821" s="37">
        <v>36</v>
      </c>
      <c r="D821" s="37"/>
      <c r="E821" s="41">
        <v>22</v>
      </c>
      <c r="F821" s="41">
        <v>2.139</v>
      </c>
      <c r="G821" s="41">
        <v>5.179</v>
      </c>
      <c r="H821" s="41">
        <v>14.682</v>
      </c>
      <c r="I821" s="40">
        <v>1476.38</v>
      </c>
      <c r="J821" s="41">
        <v>22</v>
      </c>
      <c r="K821" s="40">
        <v>1476.4</v>
      </c>
      <c r="L821" s="39">
        <f t="shared" si="172"/>
        <v>0.014901110810078569</v>
      </c>
      <c r="M821" s="38">
        <v>225</v>
      </c>
      <c r="N821" s="38">
        <f t="shared" si="173"/>
        <v>3.352749932267678</v>
      </c>
      <c r="O821" s="38">
        <f>L821*60*1000</f>
        <v>894.0666486047141</v>
      </c>
      <c r="P821" s="38">
        <f>O821*M821/1000</f>
        <v>201.16499593606068</v>
      </c>
    </row>
    <row r="822" spans="1:19" s="9" customFormat="1" ht="12.75">
      <c r="A822" s="179"/>
      <c r="B822" s="87" t="s">
        <v>870</v>
      </c>
      <c r="C822" s="37">
        <v>6</v>
      </c>
      <c r="D822" s="37" t="s">
        <v>31</v>
      </c>
      <c r="E822" s="41">
        <v>3.499</v>
      </c>
      <c r="F822" s="41"/>
      <c r="G822" s="41"/>
      <c r="H822" s="41">
        <f>+E822</f>
        <v>3.499</v>
      </c>
      <c r="I822" s="47"/>
      <c r="J822" s="41">
        <f>+H822</f>
        <v>3.499</v>
      </c>
      <c r="K822" s="40">
        <v>234.73</v>
      </c>
      <c r="L822" s="39">
        <f t="shared" si="172"/>
        <v>0.014906488305712949</v>
      </c>
      <c r="M822" s="38">
        <v>347.8</v>
      </c>
      <c r="N822" s="38">
        <f t="shared" si="173"/>
        <v>5.184476632726963</v>
      </c>
      <c r="O822" s="38">
        <f>L822*60*1000</f>
        <v>894.3892983427769</v>
      </c>
      <c r="P822" s="38">
        <f>O822*M822/1000</f>
        <v>311.06859796361783</v>
      </c>
      <c r="R822" s="10"/>
      <c r="S822" s="10"/>
    </row>
    <row r="823" spans="1:19" s="9" customFormat="1" ht="12.75">
      <c r="A823" s="179"/>
      <c r="B823" s="87" t="s">
        <v>597</v>
      </c>
      <c r="C823" s="37">
        <v>9</v>
      </c>
      <c r="D823" s="37">
        <v>1961</v>
      </c>
      <c r="E823" s="41">
        <v>5.85</v>
      </c>
      <c r="F823" s="41"/>
      <c r="G823" s="41"/>
      <c r="H823" s="41">
        <f>E823-F823-G823</f>
        <v>5.85</v>
      </c>
      <c r="I823" s="40">
        <v>391.38</v>
      </c>
      <c r="J823" s="41">
        <v>5.85</v>
      </c>
      <c r="K823" s="40">
        <v>391.38</v>
      </c>
      <c r="L823" s="39">
        <f t="shared" si="172"/>
        <v>0.014947110225356431</v>
      </c>
      <c r="M823" s="38">
        <v>243.179</v>
      </c>
      <c r="N823" s="38">
        <f t="shared" si="173"/>
        <v>3.6348233174919518</v>
      </c>
      <c r="O823" s="38">
        <f>L823*1000*60</f>
        <v>896.8266135213859</v>
      </c>
      <c r="P823" s="38">
        <f>N823*60</f>
        <v>218.0893990495171</v>
      </c>
      <c r="R823" s="10"/>
      <c r="S823" s="10"/>
    </row>
    <row r="824" spans="1:19" s="9" customFormat="1" ht="12.75">
      <c r="A824" s="179"/>
      <c r="B824" s="87" t="s">
        <v>780</v>
      </c>
      <c r="C824" s="37">
        <v>8</v>
      </c>
      <c r="D824" s="37" t="s">
        <v>534</v>
      </c>
      <c r="E824" s="41">
        <f>+F824+G824+H824</f>
        <v>6.4670000000000005</v>
      </c>
      <c r="F824" s="41">
        <v>0.36166</v>
      </c>
      <c r="G824" s="41">
        <v>0.88</v>
      </c>
      <c r="H824" s="41">
        <v>5.22534</v>
      </c>
      <c r="I824" s="40">
        <v>347.21</v>
      </c>
      <c r="J824" s="41">
        <v>5.22534</v>
      </c>
      <c r="K824" s="40">
        <v>347.21</v>
      </c>
      <c r="L824" s="39">
        <f t="shared" si="172"/>
        <v>0.015049508942714784</v>
      </c>
      <c r="M824" s="38">
        <v>276.9</v>
      </c>
      <c r="N824" s="38">
        <f t="shared" si="173"/>
        <v>4.167209026237724</v>
      </c>
      <c r="O824" s="38">
        <f aca="true" t="shared" si="174" ref="O824:O835">L824*60*1000</f>
        <v>902.9705365628871</v>
      </c>
      <c r="P824" s="38">
        <f>O824*M824/1000</f>
        <v>250.03254157426343</v>
      </c>
      <c r="R824" s="10"/>
      <c r="S824" s="10"/>
    </row>
    <row r="825" spans="1:19" s="9" customFormat="1" ht="12.75">
      <c r="A825" s="179"/>
      <c r="B825" s="87" t="s">
        <v>871</v>
      </c>
      <c r="C825" s="37">
        <v>3</v>
      </c>
      <c r="D825" s="37" t="s">
        <v>31</v>
      </c>
      <c r="E825" s="41">
        <f>1.164+0.544+0.393</f>
        <v>2.101</v>
      </c>
      <c r="F825" s="41"/>
      <c r="G825" s="41"/>
      <c r="H825" s="41">
        <f>+E825</f>
        <v>2.101</v>
      </c>
      <c r="I825" s="47"/>
      <c r="J825" s="41">
        <f>+H825</f>
        <v>2.101</v>
      </c>
      <c r="K825" s="40">
        <f>41.49+56.35+41.46</f>
        <v>139.3</v>
      </c>
      <c r="L825" s="39">
        <f t="shared" si="172"/>
        <v>0.015082555635319453</v>
      </c>
      <c r="M825" s="38">
        <v>347.8</v>
      </c>
      <c r="N825" s="38">
        <f t="shared" si="173"/>
        <v>5.2457128499641055</v>
      </c>
      <c r="O825" s="38">
        <f t="shared" si="174"/>
        <v>904.9533381191671</v>
      </c>
      <c r="P825" s="38">
        <f>O825*M825/1000</f>
        <v>314.7427709978463</v>
      </c>
      <c r="R825" s="10"/>
      <c r="S825" s="10"/>
    </row>
    <row r="826" spans="1:19" s="9" customFormat="1" ht="12.75">
      <c r="A826" s="179"/>
      <c r="B826" s="87" t="s">
        <v>683</v>
      </c>
      <c r="C826" s="37">
        <v>35</v>
      </c>
      <c r="D826" s="37"/>
      <c r="E826" s="41">
        <v>23.001</v>
      </c>
      <c r="F826" s="41">
        <v>3.515</v>
      </c>
      <c r="G826" s="41">
        <v>5.254</v>
      </c>
      <c r="H826" s="41">
        <v>14.232</v>
      </c>
      <c r="I826" s="40">
        <v>1510.12</v>
      </c>
      <c r="J826" s="41">
        <v>23</v>
      </c>
      <c r="K826" s="40">
        <v>1510.1</v>
      </c>
      <c r="L826" s="39">
        <f t="shared" si="172"/>
        <v>0.015230779418581551</v>
      </c>
      <c r="M826" s="38">
        <v>225</v>
      </c>
      <c r="N826" s="38">
        <f t="shared" si="173"/>
        <v>3.4269253691808492</v>
      </c>
      <c r="O826" s="38">
        <f t="shared" si="174"/>
        <v>913.8467651148931</v>
      </c>
      <c r="P826" s="38">
        <f>O826*M826/1000</f>
        <v>205.61552215085095</v>
      </c>
      <c r="R826" s="10"/>
      <c r="S826" s="10"/>
    </row>
    <row r="827" spans="1:19" s="9" customFormat="1" ht="11.25" customHeight="1">
      <c r="A827" s="179"/>
      <c r="B827" s="87" t="s">
        <v>837</v>
      </c>
      <c r="C827" s="37">
        <v>12</v>
      </c>
      <c r="D827" s="37">
        <v>1960</v>
      </c>
      <c r="E827" s="41">
        <f>SUM(F827+G827+H827)</f>
        <v>10.5</v>
      </c>
      <c r="F827" s="41">
        <v>0.4</v>
      </c>
      <c r="G827" s="41">
        <v>1.9</v>
      </c>
      <c r="H827" s="41">
        <v>8.2</v>
      </c>
      <c r="I827" s="40">
        <v>531.53</v>
      </c>
      <c r="J827" s="41">
        <v>7.5</v>
      </c>
      <c r="K827" s="40">
        <v>488.5</v>
      </c>
      <c r="L827" s="39">
        <f>SUM(J827/K827)</f>
        <v>0.015353121801432957</v>
      </c>
      <c r="M827" s="38">
        <v>214.3</v>
      </c>
      <c r="N827" s="38">
        <f>SUM(L827*M827)</f>
        <v>3.290174002047083</v>
      </c>
      <c r="O827" s="38">
        <f t="shared" si="174"/>
        <v>921.1873080859775</v>
      </c>
      <c r="P827" s="38">
        <f>SUM(N827*60)</f>
        <v>197.41044012282498</v>
      </c>
      <c r="R827" s="10"/>
      <c r="S827" s="10"/>
    </row>
    <row r="828" spans="1:19" s="9" customFormat="1" ht="12.75" customHeight="1">
      <c r="A828" s="179"/>
      <c r="B828" s="119" t="s">
        <v>282</v>
      </c>
      <c r="C828" s="64">
        <v>18</v>
      </c>
      <c r="D828" s="64">
        <v>1961</v>
      </c>
      <c r="E828" s="41">
        <v>16.003</v>
      </c>
      <c r="F828" s="41">
        <v>1.938</v>
      </c>
      <c r="G828" s="41">
        <v>0.21</v>
      </c>
      <c r="H828" s="41">
        <v>13.855</v>
      </c>
      <c r="I828" s="40">
        <v>887.64</v>
      </c>
      <c r="J828" s="41">
        <v>11.35</v>
      </c>
      <c r="K828" s="40">
        <v>726.9</v>
      </c>
      <c r="L828" s="39">
        <f>J828/K828</f>
        <v>0.015614252304305958</v>
      </c>
      <c r="M828" s="37">
        <v>343.459</v>
      </c>
      <c r="N828" s="38">
        <f>L828*M828</f>
        <v>5.36285548218462</v>
      </c>
      <c r="O828" s="38">
        <f t="shared" si="174"/>
        <v>936.8551382583574</v>
      </c>
      <c r="P828" s="38">
        <f>O828*M828/1000</f>
        <v>321.7713289310772</v>
      </c>
      <c r="R828" s="10"/>
      <c r="S828" s="10"/>
    </row>
    <row r="829" spans="1:19" s="9" customFormat="1" ht="12.75" customHeight="1">
      <c r="A829" s="179"/>
      <c r="B829" s="119" t="s">
        <v>283</v>
      </c>
      <c r="C829" s="64">
        <v>4</v>
      </c>
      <c r="D829" s="64">
        <v>1914</v>
      </c>
      <c r="E829" s="41">
        <v>4.065</v>
      </c>
      <c r="F829" s="41">
        <v>0.204</v>
      </c>
      <c r="G829" s="41">
        <v>0.64</v>
      </c>
      <c r="H829" s="41">
        <v>3.221</v>
      </c>
      <c r="I829" s="40">
        <v>203.32</v>
      </c>
      <c r="J829" s="41">
        <v>2.39</v>
      </c>
      <c r="K829" s="40">
        <v>151.17</v>
      </c>
      <c r="L829" s="39">
        <f>J829/K829</f>
        <v>0.015810015214658996</v>
      </c>
      <c r="M829" s="38">
        <v>343.459</v>
      </c>
      <c r="N829" s="38">
        <f>L829*M829</f>
        <v>5.430092015611564</v>
      </c>
      <c r="O829" s="38">
        <f t="shared" si="174"/>
        <v>948.6009128795397</v>
      </c>
      <c r="P829" s="38">
        <f>O829*M829/1000</f>
        <v>325.8055209366938</v>
      </c>
      <c r="R829" s="10"/>
      <c r="S829" s="10"/>
    </row>
    <row r="830" spans="1:19" s="9" customFormat="1" ht="12.75" customHeight="1">
      <c r="A830" s="179"/>
      <c r="B830" s="87" t="s">
        <v>216</v>
      </c>
      <c r="C830" s="37">
        <v>23</v>
      </c>
      <c r="D830" s="37">
        <v>1963</v>
      </c>
      <c r="E830" s="41">
        <v>8.007</v>
      </c>
      <c r="F830" s="41"/>
      <c r="G830" s="41"/>
      <c r="H830" s="41">
        <v>8.007</v>
      </c>
      <c r="I830" s="40">
        <v>502.6</v>
      </c>
      <c r="J830" s="41">
        <v>8.007</v>
      </c>
      <c r="K830" s="40">
        <v>502.6</v>
      </c>
      <c r="L830" s="39">
        <f>J830/K830</f>
        <v>0.015931157978511738</v>
      </c>
      <c r="M830" s="38">
        <v>267.81</v>
      </c>
      <c r="N830" s="38">
        <f>L830*M830</f>
        <v>4.266523418225229</v>
      </c>
      <c r="O830" s="38">
        <f t="shared" si="174"/>
        <v>955.8694787107042</v>
      </c>
      <c r="P830" s="38">
        <f>O830*M830/1000</f>
        <v>255.9914050935137</v>
      </c>
      <c r="Q830" s="11"/>
      <c r="R830" s="10"/>
      <c r="S830" s="10"/>
    </row>
    <row r="831" spans="1:19" s="9" customFormat="1" ht="12.75" customHeight="1">
      <c r="A831" s="179"/>
      <c r="B831" s="87" t="s">
        <v>838</v>
      </c>
      <c r="C831" s="37">
        <v>9</v>
      </c>
      <c r="D831" s="37" t="s">
        <v>814</v>
      </c>
      <c r="E831" s="41">
        <f>SUM(F831+G831+H831)</f>
        <v>4.1</v>
      </c>
      <c r="F831" s="41">
        <v>0</v>
      </c>
      <c r="G831" s="41">
        <v>0</v>
      </c>
      <c r="H831" s="41">
        <v>4.1</v>
      </c>
      <c r="I831" s="40">
        <v>255.12</v>
      </c>
      <c r="J831" s="41">
        <v>4.1</v>
      </c>
      <c r="K831" s="40">
        <v>255.1</v>
      </c>
      <c r="L831" s="39">
        <f>SUM(J831/K831)</f>
        <v>0.016072128577028614</v>
      </c>
      <c r="M831" s="38">
        <v>214.3</v>
      </c>
      <c r="N831" s="38">
        <f>SUM(L831*M831)</f>
        <v>3.444257154057232</v>
      </c>
      <c r="O831" s="38">
        <f t="shared" si="174"/>
        <v>964.3277146217168</v>
      </c>
      <c r="P831" s="38">
        <f>SUM(N831*60)</f>
        <v>206.65542924343393</v>
      </c>
      <c r="R831" s="10"/>
      <c r="S831" s="10"/>
    </row>
    <row r="832" spans="1:19" s="9" customFormat="1" ht="12.75" customHeight="1">
      <c r="A832" s="179"/>
      <c r="B832" s="87" t="s">
        <v>684</v>
      </c>
      <c r="C832" s="37">
        <v>8</v>
      </c>
      <c r="D832" s="37">
        <v>1958</v>
      </c>
      <c r="E832" s="41">
        <v>5.815</v>
      </c>
      <c r="F832" s="41">
        <v>0.662</v>
      </c>
      <c r="G832" s="41">
        <v>1.12</v>
      </c>
      <c r="H832" s="41">
        <v>4.033</v>
      </c>
      <c r="I832" s="40">
        <v>356.49</v>
      </c>
      <c r="J832" s="41">
        <v>5.8</v>
      </c>
      <c r="K832" s="40">
        <v>356.5</v>
      </c>
      <c r="L832" s="39">
        <f aca="true" t="shared" si="175" ref="L832:L843">J832/K832</f>
        <v>0.016269284712482467</v>
      </c>
      <c r="M832" s="38">
        <v>225</v>
      </c>
      <c r="N832" s="38">
        <f aca="true" t="shared" si="176" ref="N832:N843">L832*M832</f>
        <v>3.6605890603085554</v>
      </c>
      <c r="O832" s="38">
        <f t="shared" si="174"/>
        <v>976.157082748948</v>
      </c>
      <c r="P832" s="38">
        <f>O832*M832/1000</f>
        <v>219.63534361851333</v>
      </c>
      <c r="R832" s="10"/>
      <c r="S832" s="10"/>
    </row>
    <row r="833" spans="1:19" s="9" customFormat="1" ht="12.75" customHeight="1">
      <c r="A833" s="179"/>
      <c r="B833" s="87" t="s">
        <v>685</v>
      </c>
      <c r="C833" s="37">
        <v>8</v>
      </c>
      <c r="D833" s="37">
        <v>1960</v>
      </c>
      <c r="E833" s="41">
        <v>6.068</v>
      </c>
      <c r="F833" s="41">
        <v>0.611</v>
      </c>
      <c r="G833" s="41">
        <v>1.12</v>
      </c>
      <c r="H833" s="41">
        <v>4.337</v>
      </c>
      <c r="I833" s="40">
        <v>371.41</v>
      </c>
      <c r="J833" s="41">
        <v>6.1</v>
      </c>
      <c r="K833" s="40">
        <v>371.4</v>
      </c>
      <c r="L833" s="39">
        <f t="shared" si="175"/>
        <v>0.016424340333871836</v>
      </c>
      <c r="M833" s="38">
        <v>225</v>
      </c>
      <c r="N833" s="38">
        <f t="shared" si="176"/>
        <v>3.695476575121163</v>
      </c>
      <c r="O833" s="38">
        <f t="shared" si="174"/>
        <v>985.4604200323101</v>
      </c>
      <c r="P833" s="38">
        <f>O833*M833/1000</f>
        <v>221.7285945072698</v>
      </c>
      <c r="R833" s="10"/>
      <c r="S833" s="10"/>
    </row>
    <row r="834" spans="1:19" s="9" customFormat="1" ht="12.75" customHeight="1">
      <c r="A834" s="179"/>
      <c r="B834" s="87" t="s">
        <v>686</v>
      </c>
      <c r="C834" s="37">
        <v>2</v>
      </c>
      <c r="D834" s="37"/>
      <c r="E834" s="41">
        <v>1.335</v>
      </c>
      <c r="F834" s="41">
        <v>0</v>
      </c>
      <c r="G834" s="41">
        <v>0</v>
      </c>
      <c r="H834" s="41">
        <v>1.335</v>
      </c>
      <c r="I834" s="40">
        <v>80.95</v>
      </c>
      <c r="J834" s="41">
        <v>1.335</v>
      </c>
      <c r="K834" s="40">
        <v>80.95</v>
      </c>
      <c r="L834" s="39">
        <f t="shared" si="175"/>
        <v>0.016491661519456455</v>
      </c>
      <c r="M834" s="37">
        <v>225</v>
      </c>
      <c r="N834" s="38">
        <f t="shared" si="176"/>
        <v>3.7106238418777022</v>
      </c>
      <c r="O834" s="38">
        <f t="shared" si="174"/>
        <v>989.4996911673873</v>
      </c>
      <c r="P834" s="38">
        <f>O834*M834/1000</f>
        <v>222.63743051266212</v>
      </c>
      <c r="Q834" s="11"/>
      <c r="R834" s="10"/>
      <c r="S834" s="10"/>
    </row>
    <row r="835" spans="1:19" s="9" customFormat="1" ht="12.75" customHeight="1">
      <c r="A835" s="179"/>
      <c r="B835" s="87" t="s">
        <v>687</v>
      </c>
      <c r="C835" s="37">
        <v>36</v>
      </c>
      <c r="D835" s="37">
        <v>1969</v>
      </c>
      <c r="E835" s="41">
        <v>25</v>
      </c>
      <c r="F835" s="41">
        <v>2.947</v>
      </c>
      <c r="G835" s="41">
        <v>5.254</v>
      </c>
      <c r="H835" s="41">
        <v>16.799</v>
      </c>
      <c r="I835" s="40">
        <v>1512.63</v>
      </c>
      <c r="J835" s="41">
        <v>25</v>
      </c>
      <c r="K835" s="40">
        <v>1512.6</v>
      </c>
      <c r="L835" s="39">
        <f t="shared" si="175"/>
        <v>0.016527832870554014</v>
      </c>
      <c r="M835" s="38">
        <v>225</v>
      </c>
      <c r="N835" s="38">
        <f t="shared" si="176"/>
        <v>3.718762395874653</v>
      </c>
      <c r="O835" s="38">
        <f t="shared" si="174"/>
        <v>991.6699722332409</v>
      </c>
      <c r="P835" s="38">
        <f>O835*M835/1000</f>
        <v>223.1257437524792</v>
      </c>
      <c r="R835" s="10"/>
      <c r="S835" s="10"/>
    </row>
    <row r="836" spans="1:19" s="9" customFormat="1" ht="12.75">
      <c r="A836" s="179"/>
      <c r="B836" s="87" t="s">
        <v>598</v>
      </c>
      <c r="C836" s="37">
        <v>24</v>
      </c>
      <c r="D836" s="37">
        <v>1960</v>
      </c>
      <c r="E836" s="41">
        <v>15.28</v>
      </c>
      <c r="F836" s="41"/>
      <c r="G836" s="41"/>
      <c r="H836" s="41">
        <f>E836-F836-G836</f>
        <v>15.28</v>
      </c>
      <c r="I836" s="40">
        <v>914.41</v>
      </c>
      <c r="J836" s="41">
        <v>15.28</v>
      </c>
      <c r="K836" s="40">
        <v>914.41</v>
      </c>
      <c r="L836" s="39">
        <f t="shared" si="175"/>
        <v>0.016710228453319625</v>
      </c>
      <c r="M836" s="38">
        <v>243.179</v>
      </c>
      <c r="N836" s="38">
        <f t="shared" si="176"/>
        <v>4.063576645049813</v>
      </c>
      <c r="O836" s="38">
        <f>L836*1000*60</f>
        <v>1002.6137071991776</v>
      </c>
      <c r="P836" s="38">
        <f>N836*60</f>
        <v>243.81459870298877</v>
      </c>
      <c r="Q836" s="11"/>
      <c r="R836" s="10"/>
      <c r="S836" s="10"/>
    </row>
    <row r="837" spans="1:19" s="9" customFormat="1" ht="12.75">
      <c r="A837" s="179"/>
      <c r="B837" s="87" t="s">
        <v>599</v>
      </c>
      <c r="C837" s="37">
        <v>8</v>
      </c>
      <c r="D837" s="37">
        <v>1976</v>
      </c>
      <c r="E837" s="41">
        <v>6.94</v>
      </c>
      <c r="F837" s="41"/>
      <c r="G837" s="41"/>
      <c r="H837" s="41">
        <f>E837-F837-G837</f>
        <v>6.94</v>
      </c>
      <c r="I837" s="40">
        <v>404.24</v>
      </c>
      <c r="J837" s="41">
        <v>6.94</v>
      </c>
      <c r="K837" s="40">
        <v>404.24</v>
      </c>
      <c r="L837" s="39">
        <f t="shared" si="175"/>
        <v>0.017168018998614684</v>
      </c>
      <c r="M837" s="38">
        <v>243.179</v>
      </c>
      <c r="N837" s="38">
        <f t="shared" si="176"/>
        <v>4.17490169206412</v>
      </c>
      <c r="O837" s="38">
        <f>L837*1000*60</f>
        <v>1030.081139916881</v>
      </c>
      <c r="P837" s="38">
        <f>N837*60</f>
        <v>250.4941015238472</v>
      </c>
      <c r="R837" s="10"/>
      <c r="S837" s="10"/>
    </row>
    <row r="838" spans="1:19" s="9" customFormat="1" ht="12.75">
      <c r="A838" s="179"/>
      <c r="B838" s="87" t="s">
        <v>600</v>
      </c>
      <c r="C838" s="37">
        <v>16</v>
      </c>
      <c r="D838" s="37">
        <v>1964</v>
      </c>
      <c r="E838" s="41">
        <v>11.5</v>
      </c>
      <c r="F838" s="41"/>
      <c r="G838" s="41"/>
      <c r="H838" s="41">
        <f>E838-F838-G838</f>
        <v>11.5</v>
      </c>
      <c r="I838" s="40">
        <v>606.77</v>
      </c>
      <c r="J838" s="41">
        <v>10.6495</v>
      </c>
      <c r="K838" s="40">
        <v>606.77</v>
      </c>
      <c r="L838" s="39">
        <f t="shared" si="175"/>
        <v>0.017551131400695485</v>
      </c>
      <c r="M838" s="38">
        <v>243.179</v>
      </c>
      <c r="N838" s="38">
        <f t="shared" si="176"/>
        <v>4.268066582889728</v>
      </c>
      <c r="O838" s="38">
        <f>L838*1000*60</f>
        <v>1053.067884041729</v>
      </c>
      <c r="P838" s="38">
        <f>N838*60</f>
        <v>256.08399497338365</v>
      </c>
      <c r="R838" s="10"/>
      <c r="S838" s="10"/>
    </row>
    <row r="839" spans="1:19" s="9" customFormat="1" ht="12.75" customHeight="1">
      <c r="A839" s="179"/>
      <c r="B839" s="87" t="s">
        <v>601</v>
      </c>
      <c r="C839" s="37">
        <v>10</v>
      </c>
      <c r="D839" s="37">
        <v>1938</v>
      </c>
      <c r="E839" s="41">
        <v>5.75</v>
      </c>
      <c r="F839" s="41"/>
      <c r="G839" s="41"/>
      <c r="H839" s="41">
        <f>E839-F839-G839</f>
        <v>5.75</v>
      </c>
      <c r="I839" s="40">
        <v>304.82</v>
      </c>
      <c r="J839" s="41">
        <v>5.35</v>
      </c>
      <c r="K839" s="40">
        <v>304.82</v>
      </c>
      <c r="L839" s="39">
        <f t="shared" si="175"/>
        <v>0.01755134177547405</v>
      </c>
      <c r="M839" s="38">
        <v>243.179</v>
      </c>
      <c r="N839" s="38">
        <f t="shared" si="176"/>
        <v>4.2681177416180045</v>
      </c>
      <c r="O839" s="38">
        <f>L839*1000*60</f>
        <v>1053.080506528443</v>
      </c>
      <c r="P839" s="38">
        <f>N839*60</f>
        <v>256.0870644970803</v>
      </c>
      <c r="R839" s="10"/>
      <c r="S839" s="10"/>
    </row>
    <row r="840" spans="1:19" s="9" customFormat="1" ht="12.75">
      <c r="A840" s="179"/>
      <c r="B840" s="87" t="s">
        <v>688</v>
      </c>
      <c r="C840" s="37">
        <v>3</v>
      </c>
      <c r="D840" s="37">
        <v>1940</v>
      </c>
      <c r="E840" s="41">
        <v>1.973</v>
      </c>
      <c r="F840" s="41">
        <v>0</v>
      </c>
      <c r="G840" s="41">
        <v>0</v>
      </c>
      <c r="H840" s="41">
        <v>1.973</v>
      </c>
      <c r="I840" s="40">
        <v>112.26</v>
      </c>
      <c r="J840" s="41">
        <v>1.973</v>
      </c>
      <c r="K840" s="40">
        <v>112.26</v>
      </c>
      <c r="L840" s="39">
        <f t="shared" si="175"/>
        <v>0.017575271690717976</v>
      </c>
      <c r="M840" s="37">
        <v>225</v>
      </c>
      <c r="N840" s="38">
        <f t="shared" si="176"/>
        <v>3.9544361304115445</v>
      </c>
      <c r="O840" s="38">
        <f>L840*60*1000</f>
        <v>1054.5163014430784</v>
      </c>
      <c r="P840" s="38">
        <f>O840*M840/1000</f>
        <v>237.26616782469264</v>
      </c>
      <c r="R840" s="10"/>
      <c r="S840" s="10"/>
    </row>
    <row r="841" spans="1:19" s="9" customFormat="1" ht="12.75" customHeight="1">
      <c r="A841" s="179"/>
      <c r="B841" s="87" t="s">
        <v>689</v>
      </c>
      <c r="C841" s="37">
        <v>8</v>
      </c>
      <c r="D841" s="37">
        <v>1960</v>
      </c>
      <c r="E841" s="41">
        <v>6.444</v>
      </c>
      <c r="F841" s="41">
        <v>0.815</v>
      </c>
      <c r="G841" s="41">
        <v>1.28</v>
      </c>
      <c r="H841" s="41">
        <v>4.349</v>
      </c>
      <c r="I841" s="40">
        <v>358.27</v>
      </c>
      <c r="J841" s="41">
        <v>6.4</v>
      </c>
      <c r="K841" s="40">
        <v>358.3</v>
      </c>
      <c r="L841" s="39">
        <f t="shared" si="175"/>
        <v>0.017862126709461346</v>
      </c>
      <c r="M841" s="38">
        <v>225</v>
      </c>
      <c r="N841" s="38">
        <f t="shared" si="176"/>
        <v>4.018978509628803</v>
      </c>
      <c r="O841" s="38">
        <f>L841*60*1000</f>
        <v>1071.7276025676808</v>
      </c>
      <c r="P841" s="38">
        <f>O841*M841/1000</f>
        <v>241.1387105777282</v>
      </c>
      <c r="R841" s="10"/>
      <c r="S841" s="10"/>
    </row>
    <row r="842" spans="1:19" s="9" customFormat="1" ht="12.75" customHeight="1">
      <c r="A842" s="179"/>
      <c r="B842" s="87" t="s">
        <v>690</v>
      </c>
      <c r="C842" s="37">
        <v>8</v>
      </c>
      <c r="D842" s="37">
        <v>1951</v>
      </c>
      <c r="E842" s="41">
        <v>5.444</v>
      </c>
      <c r="F842" s="41">
        <v>0.853</v>
      </c>
      <c r="G842" s="41">
        <v>1.28</v>
      </c>
      <c r="H842" s="41">
        <v>3.311</v>
      </c>
      <c r="I842" s="40">
        <v>300.96</v>
      </c>
      <c r="J842" s="41">
        <v>5.4</v>
      </c>
      <c r="K842" s="40">
        <v>301</v>
      </c>
      <c r="L842" s="39">
        <f t="shared" si="175"/>
        <v>0.017940199335548173</v>
      </c>
      <c r="M842" s="38">
        <v>225</v>
      </c>
      <c r="N842" s="38">
        <f t="shared" si="176"/>
        <v>4.0365448504983386</v>
      </c>
      <c r="O842" s="38">
        <f>L842*60*1000</f>
        <v>1076.4119601328903</v>
      </c>
      <c r="P842" s="38">
        <f>O842*M842/1000</f>
        <v>242.19269102990032</v>
      </c>
      <c r="R842" s="10"/>
      <c r="S842" s="10"/>
    </row>
    <row r="843" spans="1:19" s="9" customFormat="1" ht="13.5" thickBot="1">
      <c r="A843" s="253"/>
      <c r="B843" s="246" t="s">
        <v>381</v>
      </c>
      <c r="C843" s="247">
        <v>7</v>
      </c>
      <c r="D843" s="247">
        <v>1973</v>
      </c>
      <c r="E843" s="248">
        <f>F843+G843+H843</f>
        <v>4.48</v>
      </c>
      <c r="F843" s="248">
        <v>0</v>
      </c>
      <c r="G843" s="248">
        <v>0</v>
      </c>
      <c r="H843" s="248">
        <v>4.48</v>
      </c>
      <c r="I843" s="249">
        <v>246.04</v>
      </c>
      <c r="J843" s="248">
        <v>4.48</v>
      </c>
      <c r="K843" s="249">
        <v>246.04</v>
      </c>
      <c r="L843" s="250">
        <f t="shared" si="175"/>
        <v>0.01820842139489514</v>
      </c>
      <c r="M843" s="251">
        <v>320.7</v>
      </c>
      <c r="N843" s="252">
        <f t="shared" si="176"/>
        <v>5.839440741342871</v>
      </c>
      <c r="O843" s="252">
        <f>L843*60*1000</f>
        <v>1092.5052836937084</v>
      </c>
      <c r="P843" s="252">
        <f>O843*M843/1000</f>
        <v>350.3664444805722</v>
      </c>
      <c r="Q843" s="11"/>
      <c r="R843" s="10"/>
      <c r="S843" s="10"/>
    </row>
    <row r="844" spans="2:26" s="9" customFormat="1" ht="12.75">
      <c r="B844" s="19"/>
      <c r="C844" s="20"/>
      <c r="D844" s="20"/>
      <c r="E844" s="21"/>
      <c r="F844" s="21"/>
      <c r="G844" s="21"/>
      <c r="H844" s="21"/>
      <c r="I844" s="22"/>
      <c r="J844" s="23"/>
      <c r="K844" s="22"/>
      <c r="L844" s="24"/>
      <c r="M844" s="21"/>
      <c r="N844" s="21"/>
      <c r="O844" s="21"/>
      <c r="P844" s="21"/>
      <c r="R844" s="10"/>
      <c r="S844" s="10"/>
      <c r="Z844" s="14"/>
    </row>
    <row r="862" ht="11.25">
      <c r="B862" s="9"/>
    </row>
  </sheetData>
  <sheetProtection/>
  <mergeCells count="19">
    <mergeCell ref="B2:P2"/>
    <mergeCell ref="P3:P4"/>
    <mergeCell ref="N3:N4"/>
    <mergeCell ref="C3:C4"/>
    <mergeCell ref="E3:H3"/>
    <mergeCell ref="D3:D4"/>
    <mergeCell ref="B3:B5"/>
    <mergeCell ref="I3:I4"/>
    <mergeCell ref="J3:J4"/>
    <mergeCell ref="A632:A843"/>
    <mergeCell ref="A367:A631"/>
    <mergeCell ref="A236:A366"/>
    <mergeCell ref="A7:A235"/>
    <mergeCell ref="A3:A5"/>
    <mergeCell ref="B1:P1"/>
    <mergeCell ref="K3:K4"/>
    <mergeCell ref="L3:L4"/>
    <mergeCell ref="M3:M4"/>
    <mergeCell ref="O3:O4"/>
  </mergeCells>
  <printOptions/>
  <pageMargins left="0.27" right="0.15748031496062992" top="0.1968503937007874" bottom="0.1968503937007874" header="0.15748031496062992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LŠTA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Ramunė Kmieliauskaitė</dc:creator>
  <cp:keywords/>
  <dc:description/>
  <cp:lastModifiedBy>MPaulauskas</cp:lastModifiedBy>
  <cp:lastPrinted>2011-05-24T08:20:03Z</cp:lastPrinted>
  <dcterms:created xsi:type="dcterms:W3CDTF">2007-12-03T08:09:16Z</dcterms:created>
  <dcterms:modified xsi:type="dcterms:W3CDTF">2012-11-14T10:25:58Z</dcterms:modified>
  <cp:category/>
  <cp:version/>
  <cp:contentType/>
  <cp:contentStatus/>
</cp:coreProperties>
</file>